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POTESI" sheetId="1" state="visible" r:id="rId3"/>
    <sheet name="UTENZA" sheetId="2" state="visible" r:id="rId4"/>
    <sheet name="PERSONALE" sheetId="3" state="visible" r:id="rId5"/>
    <sheet name="COSTI_ESERCIZIO" sheetId="4" state="visible" r:id="rId6"/>
    <sheet name="CONTO_ECONOMICO" sheetId="5" state="visible" r:id="rId7"/>
    <sheet name="EQUILIBRIO" sheetId="6" state="visible" r:id="rId8"/>
    <sheet name="VALORE_BANDO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<sst xmlns="http://schemas.openxmlformats.org/spreadsheetml/2006/main" count="408" uniqueCount="266">
  <si>
    <t xml:space="preserve">PIANO ECONOMICO-FINANZIARIO – CONCESSIONE CA + CD – COMUNE DI BANARI</t>
  </si>
  <si>
    <t xml:space="preserve">FOGLIO IPOTESI  |  Parametri in BLU = input modificabili  |  Formule auto-aggiornate</t>
  </si>
  <si>
    <t xml:space="preserve">PARAMETRO</t>
  </si>
  <si>
    <t xml:space="preserve">VALORE</t>
  </si>
  <si>
    <t xml:space="preserve">UNITÀ / NOTE</t>
  </si>
  <si>
    <t xml:space="preserve">RIFERIMENTO</t>
  </si>
  <si>
    <t xml:space="preserve">   A. STRUTTURA E DURATA</t>
  </si>
  <si>
    <t xml:space="preserve">Durata concessione</t>
  </si>
  <si>
    <t xml:space="preserve">anni</t>
  </si>
  <si>
    <t xml:space="preserve">Art. 178 co. 2 D.Lgs. 36/2023</t>
  </si>
  <si>
    <t xml:space="preserve">Anno di avvio</t>
  </si>
  <si>
    <t xml:space="preserve">anno</t>
  </si>
  <si>
    <t xml:space="preserve">Stima</t>
  </si>
  <si>
    <t xml:space="preserve">Posti letto CA (capacità max)</t>
  </si>
  <si>
    <t xml:space="preserve">n. – piena capacità dal 1° anno</t>
  </si>
  <si>
    <t xml:space="preserve">Capitolato art. 6</t>
  </si>
  <si>
    <t xml:space="preserve">Utenti CD (capacità max)</t>
  </si>
  <si>
    <t xml:space="preserve">Anni esenzione canone</t>
  </si>
  <si>
    <t xml:space="preserve">canone=0 per anni 1-3, dovuto da anno 4</t>
  </si>
  <si>
    <t xml:space="preserve">Capitolato art. 10</t>
  </si>
  <si>
    <t xml:space="preserve">   B. PROFILO DI OCCUPAZIONE — RAMP-UP (occupazione progressiva; % in BLU nel foglio UTENZA)</t>
  </si>
  <si>
    <t xml:space="preserve">FASE</t>
  </si>
  <si>
    <t xml:space="preserve">Utenti CA</t>
  </si>
  <si>
    <t xml:space="preserve">Utenti CD</t>
  </si>
  <si>
    <t xml:space="preserve">NOTE</t>
  </si>
  <si>
    <t xml:space="preserve">Ramp-up occupazione (input per anno nel foglio UTENZA, righe 7-8)</t>
  </si>
  <si>
    <t xml:space="preserve">CA 70% / 80% / 87% / 90% poi 100% (anni 5-12)</t>
  </si>
  <si>
    <t xml:space="preserve">CD analogo</t>
  </si>
  <si>
    <t xml:space="preserve">Scenario di equilibrio ex art. 177 co.5 D.Lgs. 36/2023</t>
  </si>
  <si>
    <t xml:space="preserve">   C. RETTE E CANONE</t>
  </si>
  <si>
    <t xml:space="preserve">Retta mensile CA</t>
  </si>
  <si>
    <t xml:space="preserve">€/mese – B.A. gara</t>
  </si>
  <si>
    <t xml:space="preserve">Capitolato art. 9 / Disciplinare</t>
  </si>
  <si>
    <t xml:space="preserve">Retta mensile CD</t>
  </si>
  <si>
    <t xml:space="preserve">Canone annuo concessione</t>
  </si>
  <si>
    <t xml:space="preserve">€/anno IVA esclusa – B.A. (al rialzo)</t>
  </si>
  <si>
    <t xml:space="preserve">   D. TASSI DI INFLAZIONE/RIVALUTAZIONE (0% per scelta della stazione appaltante)</t>
  </si>
  <si>
    <t xml:space="preserve">Rivalutazione rette CA</t>
  </si>
  <si>
    <t xml:space="preserve">% annuo – fissa per tutta la durata</t>
  </si>
  <si>
    <t xml:space="preserve">Capitolato art. 9</t>
  </si>
  <si>
    <t xml:space="preserve">Rivalutazione spese CD</t>
  </si>
  <si>
    <t xml:space="preserve">Decisione Comune</t>
  </si>
  <si>
    <t xml:space="preserve">Inflazione costi esercizio</t>
  </si>
  <si>
    <t xml:space="preserve">Adeguamento CCNL personale</t>
  </si>
  <si>
    <t xml:space="preserve">% annuo – stima base PEF</t>
  </si>
  <si>
    <t xml:space="preserve">   E. COSTI DI ESERCIZIO ANNO BASE (modificabili)</t>
  </si>
  <si>
    <t xml:space="preserve">VOCE DI COSTO</t>
  </si>
  <si>
    <t xml:space="preserve">IMPORTO BASE (€)</t>
  </si>
  <si>
    <t xml:space="preserve">CATEGORIA</t>
  </si>
  <si>
    <t xml:space="preserve">Derrate alimentari</t>
  </si>
  <si>
    <t xml:space="preserve">Alimentare</t>
  </si>
  <si>
    <t xml:space="preserve">Pasti ospiti CA + CD</t>
  </si>
  <si>
    <t xml:space="preserve">Energia elettrica</t>
  </si>
  <si>
    <t xml:space="preserve">Utenze</t>
  </si>
  <si>
    <t xml:space="preserve">Riscaldamento, illuminazione, apparecchi</t>
  </si>
  <si>
    <t xml:space="preserve">Servizio idrico</t>
  </si>
  <si>
    <t xml:space="preserve">Acqua potabile e sanitaria</t>
  </si>
  <si>
    <t xml:space="preserve">Gas – riscaldamento e cucina</t>
  </si>
  <si>
    <t xml:space="preserve">Caldaia e cucina</t>
  </si>
  <si>
    <t xml:space="preserve">Telefonia e connettività</t>
  </si>
  <si>
    <t xml:space="preserve">Comunicaz.</t>
  </si>
  <si>
    <t xml:space="preserve">Fisso, mobile, internet</t>
  </si>
  <si>
    <t xml:space="preserve">Assicurazioni RCT/RCO</t>
  </si>
  <si>
    <t xml:space="preserve">Oneri fissi</t>
  </si>
  <si>
    <t xml:space="preserve">Polizze obbligatorie struttura</t>
  </si>
  <si>
    <t xml:space="preserve">Smaltimento rifiuti / TARI</t>
  </si>
  <si>
    <t xml:space="preserve">Tariffa rifiuti</t>
  </si>
  <si>
    <t xml:space="preserve">Manutenzione impianti / estintori / ascensore</t>
  </si>
  <si>
    <t xml:space="preserve">Manut.</t>
  </si>
  <si>
    <t xml:space="preserve">Contratti manutenzione obbligatoria</t>
  </si>
  <si>
    <t xml:space="preserve">Oneri sicurezza (D.Lgs. 81/2008)</t>
  </si>
  <si>
    <t xml:space="preserve">DVR, sorveglianza sanitaria</t>
  </si>
  <si>
    <t xml:space="preserve">Volture e allacciamenti (oneri di avvio)</t>
  </si>
  <si>
    <t xml:space="preserve">Avvio</t>
  </si>
  <si>
    <t xml:space="preserve">Solo anno 1 – contabilizzato pro-rata</t>
  </si>
  <si>
    <t xml:space="preserve">Materiale pulizie e igiene</t>
  </si>
  <si>
    <t xml:space="preserve">Consumabili</t>
  </si>
  <si>
    <t xml:space="preserve">Detergenti, DPI, sanificazione</t>
  </si>
  <si>
    <t xml:space="preserve">Acquisti vari / materiale di consumo</t>
  </si>
  <si>
    <t xml:space="preserve">Cancelleria, piccoli acquisti</t>
  </si>
  <si>
    <t xml:space="preserve">Consulenze tecniche e professionali</t>
  </si>
  <si>
    <t xml:space="preserve">Profess.</t>
  </si>
  <si>
    <t xml:space="preserve">Commercialista, legale, sicurezza</t>
  </si>
  <si>
    <t xml:space="preserve">TOTALE COSTI ESERCIZIO ANNO BASE</t>
  </si>
  <si>
    <t xml:space="preserve">   F. COSTI DEL PERSONALE ANNO BASE (modificabili per figura)</t>
  </si>
  <si>
    <t xml:space="preserve">FIGURA PROFESSIONALE</t>
  </si>
  <si>
    <t xml:space="preserve">COSTO LORDO ANNUO (€)</t>
  </si>
  <si>
    <t xml:space="preserve">FTE / DETTAGLIO</t>
  </si>
  <si>
    <t xml:space="preserve">CCNL APPLICATO</t>
  </si>
  <si>
    <t xml:space="preserve">Coordinatore</t>
  </si>
  <si>
    <t xml:space="preserve">20% FTE – 1 unità</t>
  </si>
  <si>
    <t xml:space="preserve">ANASTE / CCNL Coop. Sociali</t>
  </si>
  <si>
    <t xml:space="preserve">OSS – Operatori Socio-Sanitari</t>
  </si>
  <si>
    <t xml:space="preserve">75% FTE – 2 unità</t>
  </si>
  <si>
    <t xml:space="preserve">CCNL Cooperative Sociali</t>
  </si>
  <si>
    <t xml:space="preserve">Educatore professionale</t>
  </si>
  <si>
    <t xml:space="preserve">75% FTE – 1 unità</t>
  </si>
  <si>
    <t xml:space="preserve">Ausiliari socio-assistenziali</t>
  </si>
  <si>
    <t xml:space="preserve">100% FTE – 6 unità</t>
  </si>
  <si>
    <t xml:space="preserve">Cuoco</t>
  </si>
  <si>
    <t xml:space="preserve">Aiuto cuoco</t>
  </si>
  <si>
    <t xml:space="preserve">30% FTE – 1 unità</t>
  </si>
  <si>
    <t xml:space="preserve">Altri oneri (formazione, TFR ecc.)</t>
  </si>
  <si>
    <t xml:space="preserve">Forfait annuo</t>
  </si>
  <si>
    <t xml:space="preserve">–</t>
  </si>
  <si>
    <t xml:space="preserve">TOTALE PERSONALE ANNO BASE</t>
  </si>
  <si>
    <t xml:space="preserve">   G. INVESTIMENTI INIZIALI ANNO 1 (modificabili per voce)</t>
  </si>
  <si>
    <t xml:space="preserve">VOCE DI INVESTIMENTO</t>
  </si>
  <si>
    <t xml:space="preserve">IMPORTO (€)</t>
  </si>
  <si>
    <t xml:space="preserve">VITA UTILE (anni)</t>
  </si>
  <si>
    <t xml:space="preserve">Letti singoli con materasso e rete (16)</t>
  </si>
  <si>
    <t xml:space="preserve">Arredi camera</t>
  </si>
  <si>
    <t xml:space="preserve">Armadi (16)</t>
  </si>
  <si>
    <t xml:space="preserve">Sedie e tavoli per camera (16)</t>
  </si>
  <si>
    <t xml:space="preserve">Arredi zona giorno + sala pasti</t>
  </si>
  <si>
    <t xml:space="preserve">Arredi comuni</t>
  </si>
  <si>
    <t xml:space="preserve">Televisore sala comune</t>
  </si>
  <si>
    <t xml:space="preserve">Arredi complementari vari</t>
  </si>
  <si>
    <t xml:space="preserve">Corredi cucina (stoviglie, pentolame)</t>
  </si>
  <si>
    <t xml:space="preserve">Corredi cucina</t>
  </si>
  <si>
    <t xml:space="preserve">Biancheria letto (16 ospiti × 3 ricambi)</t>
  </si>
  <si>
    <t xml:space="preserve">Corredi camera</t>
  </si>
  <si>
    <t xml:space="preserve">Asciugamani, coperte, cuscini</t>
  </si>
  <si>
    <t xml:space="preserve">Letti articolati 2 snodi con sponde (8)</t>
  </si>
  <si>
    <t xml:space="preserve">Req. tecnologici</t>
  </si>
  <si>
    <t xml:space="preserve">Materassi antidecubito (16)</t>
  </si>
  <si>
    <t xml:space="preserve">Corrimano a parete – percorsi principali</t>
  </si>
  <si>
    <t xml:space="preserve">Ausili mobilità (deambulatori, carrozzine)</t>
  </si>
  <si>
    <t xml:space="preserve">Sistema chiamata emergenza (letti + bagni)</t>
  </si>
  <si>
    <t xml:space="preserve">Attrezzatura fisioterapia (interna)</t>
  </si>
  <si>
    <t xml:space="preserve">Arredi specifici</t>
  </si>
  <si>
    <t xml:space="preserve">Attrezzatura attività ricreative e socializzazione</t>
  </si>
  <si>
    <t xml:space="preserve">Segnaletica e dotazioni sicurezza</t>
  </si>
  <si>
    <t xml:space="preserve">TOTALE INVESTIMENTO INIZIALE</t>
  </si>
  <si>
    <t xml:space="preserve">   NOTE METODOLOGICHE</t>
  </si>
  <si>
    <t xml:space="preserve">• Il valore stimato della concessione (art. 179 D.Lgs. 36/2023) è determinato prudenzialmente a piena capacità (16 CA + 8 CD) – cfr. foglio VALORE_BANDO, sez. 1.</t>
  </si>
  <si>
    <t xml:space="preserve">• Il piano di verifica dell’equilibrio economico-finanziario (art. 177 co. 5) adotta uno scenario di occupazione progressiva (ramp-up): 70%-80%-87%-90% nei primi 4 anni, piena capacità dal 5° anno.</t>
  </si>
  <si>
    <t xml:space="preserve">• Le rette e i costi sono costanti (nessuna rivalutazione inflattiva). Il canone è azzerato per i primi 3 anni ed è dovuto dal 4° al 12° anno (9 annualità).</t>
  </si>
  <si>
    <t xml:space="preserve">• Il personale è dimensionato a regime dal 1° anno (dotazione minima obbligatoria per la capacità autorizzata – DPGR Sardegna 4/2008): i costi fissi maturano da subito mentre i ricavi crescono con l’occupazione, generando le perdite iniziali che giustificano la durata dodicennale (art. 178 co. 2).</t>
  </si>
  <si>
    <t xml:space="preserve">• Il pareggio cumulato (break-even) è raggiunto al 10° anno – cfr. foglio EQUILIBRIO. L’ammortamento dei beni mobili è a quote costanti per voce (foglio COSTI_ESERCIZIO).</t>
  </si>
  <si>
    <t xml:space="preserve">UTENZA – PROFILO DI OCCUPAZIONE RAMP-UP (% occupazione = input in BLU, righe 7-8)</t>
  </si>
  <si>
    <t xml:space="preserve">Utenti equivalenti = capacità max × % occupazione. Ricavi = utenti × retta × 12.</t>
  </si>
  <si>
    <t xml:space="preserve">A.1</t>
  </si>
  <si>
    <t xml:space="preserve">A.2</t>
  </si>
  <si>
    <t xml:space="preserve">A.3</t>
  </si>
  <si>
    <t xml:space="preserve">A.4</t>
  </si>
  <si>
    <t xml:space="preserve">A.5</t>
  </si>
  <si>
    <t xml:space="preserve">A.6</t>
  </si>
  <si>
    <t xml:space="preserve">A.7</t>
  </si>
  <si>
    <t xml:space="preserve">A.8</t>
  </si>
  <si>
    <t xml:space="preserve">A.9</t>
  </si>
  <si>
    <t xml:space="preserve">A.10</t>
  </si>
  <si>
    <t xml:space="preserve">A.11</t>
  </si>
  <si>
    <t xml:space="preserve">A.12</t>
  </si>
  <si>
    <t xml:space="preserve">TOTALE 12a</t>
  </si>
  <si>
    <t xml:space="preserve">Utenti CA equivalenti (n.)</t>
  </si>
  <si>
    <t xml:space="preserve">Utenti CD equivalenti (n.)</t>
  </si>
  <si>
    <t xml:space="preserve">% occupazione CA (input)</t>
  </si>
  <si>
    <t xml:space="preserve">% occupazione CD (input)</t>
  </si>
  <si>
    <t xml:space="preserve">Retta CA (€/mese, fissa)</t>
  </si>
  <si>
    <t xml:space="preserve">Retta CD (€/mese, fissa)</t>
  </si>
  <si>
    <t xml:space="preserve">Ricavi annui CA (€)</t>
  </si>
  <si>
    <t xml:space="preserve">Ricavi annui CD (€)</t>
  </si>
  <si>
    <t xml:space="preserve">TOTALE RICAVI ANNO (€)</t>
  </si>
  <si>
    <t xml:space="preserve">Il totale dei ricavi 12 anni costituisce il VALORE STIMATO DELLA CONCESSIONE ai sensi dell'art. 14 D.Lgs. 36/2023 (IVA esclusa).</t>
  </si>
  <si>
    <t xml:space="preserve">PERSONALE – COSTI PER FIGURA E PROIEZIONE 12 ANNI (no rivalutazione)</t>
  </si>
  <si>
    <t xml:space="preserve">FIGURA</t>
  </si>
  <si>
    <t xml:space="preserve">ANNO BASE</t>
  </si>
  <si>
    <t xml:space="preserve">FTE</t>
  </si>
  <si>
    <t xml:space="preserve">20%</t>
  </si>
  <si>
    <t xml:space="preserve">75% x 2</t>
  </si>
  <si>
    <t xml:space="preserve">75%</t>
  </si>
  <si>
    <t xml:space="preserve">100% x 6</t>
  </si>
  <si>
    <t xml:space="preserve">30%</t>
  </si>
  <si>
    <t xml:space="preserve">TOTALE COSTI PERSONALE</t>
  </si>
  <si>
    <t xml:space="preserve">COSTI DI ESERCIZIO – costi variabili (derrate, pulizie, consumo) scalati sull’occupazione; altri fissi</t>
  </si>
  <si>
    <t xml:space="preserve">Alimentare (variabile)</t>
  </si>
  <si>
    <t xml:space="preserve">Consumabili (variabile)</t>
  </si>
  <si>
    <t xml:space="preserve">SUBTOTALE COSTI ESERCIZIO</t>
  </si>
  <si>
    <t xml:space="preserve">   AMMORTAMENTO INVESTIMENTI INIZIALI (quote costanti per voce)</t>
  </si>
  <si>
    <t xml:space="preserve">10 anni</t>
  </si>
  <si>
    <t xml:space="preserve">5 anni</t>
  </si>
  <si>
    <t xml:space="preserve">15 anni</t>
  </si>
  <si>
    <t xml:space="preserve">7 anni</t>
  </si>
  <si>
    <t xml:space="preserve">TOTALE AMMORTAMENTO ANNUO</t>
  </si>
  <si>
    <t xml:space="preserve">   CANONE DI CONCESSIONE (esenzione anni 1-3, dovuto da anno 4)</t>
  </si>
  <si>
    <t xml:space="preserve">Canone annuo concessione (IVA esclusa)</t>
  </si>
  <si>
    <t xml:space="preserve">esenz. 3 anni</t>
  </si>
  <si>
    <t xml:space="preserve">TOTALE COSTI ESERCIZIO (incl. amm. e canone)</t>
  </si>
  <si>
    <t xml:space="preserve">CONTO ECONOMICO PREVISIONALE – 12 ANNI  |  Comune di Banari – Concessione CA + CD</t>
  </si>
  <si>
    <t xml:space="preserve">VOCE</t>
  </si>
  <si>
    <t xml:space="preserve">Anno 1</t>
  </si>
  <si>
    <t xml:space="preserve">Anno 2</t>
  </si>
  <si>
    <t xml:space="preserve">Anno 3</t>
  </si>
  <si>
    <t xml:space="preserve">Anno 4</t>
  </si>
  <si>
    <t xml:space="preserve">Anno 5</t>
  </si>
  <si>
    <t xml:space="preserve">Anno 6</t>
  </si>
  <si>
    <t xml:space="preserve">Anno 7</t>
  </si>
  <si>
    <t xml:space="preserve">Anno 8</t>
  </si>
  <si>
    <t xml:space="preserve">Anno 9</t>
  </si>
  <si>
    <t xml:space="preserve">Anno 10</t>
  </si>
  <si>
    <t xml:space="preserve">Anno 11</t>
  </si>
  <si>
    <t xml:space="preserve">Anno 12</t>
  </si>
  <si>
    <t xml:space="preserve">TOTALE 12 anni</t>
  </si>
  <si>
    <t xml:space="preserve">   ▶  RICAVI</t>
  </si>
  <si>
    <t xml:space="preserve">Ricavi rette Comunità Alloggio (CA)</t>
  </si>
  <si>
    <t xml:space="preserve">Ricavi rette Centro Diurno (CD)</t>
  </si>
  <si>
    <t xml:space="preserve">TOTALE RICAVI (A)</t>
  </si>
  <si>
    <t xml:space="preserve">   ▶  COSTI DEL PERSONALE</t>
  </si>
  <si>
    <t xml:space="preserve">Costi del personale (totale)</t>
  </si>
  <si>
    <t xml:space="preserve">   ▶  COSTI DI ESERCIZIO</t>
  </si>
  <si>
    <t xml:space="preserve">Costi gestione (utenze, forniture, manutenzione)</t>
  </si>
  <si>
    <t xml:space="preserve">Quota ammortamento investimenti iniziali</t>
  </si>
  <si>
    <t xml:space="preserve">Canone di concessione (esenzione anni 1-3)</t>
  </si>
  <si>
    <t xml:space="preserve">   ▶  RIEPILOGO</t>
  </si>
  <si>
    <t xml:space="preserve">TOTALE COSTI (B + C)</t>
  </si>
  <si>
    <t xml:space="preserve">RISULTATO OPERATIVO (A − B − C)</t>
  </si>
  <si>
    <t xml:space="preserve">Margine % sui ricavi</t>
  </si>
  <si>
    <t xml:space="preserve">VERIFICA DELL’EQUILIBRIO ECONOMICO-FINANZIARIO E BREAK-EVEN – art. 177 co. 5 e art. 178 D.Lgs. 36/2023</t>
  </si>
  <si>
    <t xml:space="preserve">Scenario ramp-up (occupazione progressiva). Il pareggio cumulato al 10° anno giustifica la durata dodicennale (art. 178 co. 2).</t>
  </si>
  <si>
    <t xml:space="preserve">Risultato operativo annuo (€)</t>
  </si>
  <si>
    <t xml:space="preserve">Risultato cumulato (€)</t>
  </si>
  <si>
    <t xml:space="preserve">Ammortamento (add-back, €)</t>
  </si>
  <si>
    <t xml:space="preserve">Flusso di cassa operativo (€)</t>
  </si>
  <si>
    <t xml:space="preserve">Anno (indice)</t>
  </si>
  <si>
    <t xml:space="preserve">ANNO DI BREAK-EVEN (pareggio cumulato)</t>
  </si>
  <si>
    <t xml:space="preserve">Anno di break-even (art. 178, comma 2)</t>
  </si>
  <si>
    <t xml:space="preserve">Anno di pareggio (crossing)</t>
  </si>
  <si>
    <t xml:space="preserve">   INDICATORI DI EQUILIBRIO (art. 177 co. 5 D.Lgs. 36/2023)</t>
  </si>
  <si>
    <t xml:space="preserve">Investimento iniziale (€)</t>
  </si>
  <si>
    <t xml:space="preserve">Tasso di attualizzazione (input)</t>
  </si>
  <si>
    <t xml:space="preserve">VAN – Valore Attuale Netto (€)</t>
  </si>
  <si>
    <t xml:space="preserve">TIR – Tasso Interno di Rendimento</t>
  </si>
  <si>
    <t xml:space="preserve">Payback attualizzato: pareggio cumulato scenario ramp-up al 10° anno; margine positivo residuo anni 11-12.</t>
  </si>
  <si>
    <t xml:space="preserve">Serie flussi (t0..t12) per TIR</t>
  </si>
  <si>
    <t xml:space="preserve">NOTE METODOLOGICHE</t>
  </si>
  <si>
    <t xml:space="preserve">• Break-even = primo anno in cui il risultato operativo cumulato diventa ≥ 0. Le perdite dei primi anni derivano dall’occupazione progressiva (ramp-up) a fronte di costi fissi (personale, oneri) già a regime.</t>
  </si>
  <si>
    <t xml:space="preserve">• Art. 177 co. 5: l’equilibrio economico-finanziario sussiste quando i ricavi coprono i costi operativi e di investimento e remunerano il capitale (convenienza economica + sostenibilità finanziaria).</t>
  </si>
  <si>
    <t xml:space="preserve">• Art. 178 co. 2: per le concessioni ultraquinquennali la durata massima non supera il periodo di recupero degli investimenti e dei costi + ritorno sul capitale: il pareggio al 10° anno rende congrua la durata di 12 anni.</t>
  </si>
  <si>
    <t xml:space="preserve">• Il profilo di occupazione (ramp-up) è modificabile nel foglio UTENZA (righe 7-8): variando le % il break-even si sposta automaticamente.</t>
  </si>
  <si>
    <t xml:space="preserve">VALORE STIMATO DELLA CONCESSIONE – ARTT. 179 e 14 D.LGS. 36/2023</t>
  </si>
  <si>
    <t xml:space="preserve">Sez.1 valore a piena capacità (prudenziale) | Sez.2 scenario equilibrio ramp-up | Sez.3 parametri gara</t>
  </si>
  <si>
    <t xml:space="preserve">   1. VALORE STIMATO CONCESSIONE (art. 179) – a piena capacità, 12 anni</t>
  </si>
  <si>
    <t xml:space="preserve">Ricavi CA (16 × €1.850 × 12 mesi × 12 anni)</t>
  </si>
  <si>
    <t xml:space="preserve">piena capacità</t>
  </si>
  <si>
    <t xml:space="preserve">Ricavi CD (8 × €500 × 12 mesi × 12 anni)</t>
  </si>
  <si>
    <t xml:space="preserve">VALORE STIMATO CONCESSIONE (art. 179) – IVA esclusa</t>
  </si>
  <si>
    <t xml:space="preserve">Importo per bando/disciplinare</t>
  </si>
  <si>
    <t xml:space="preserve">Valore medio annuo</t>
  </si>
  <si>
    <t xml:space="preserve">Soglia UE concessioni 01/01/2026: €5.404.000 (Reg. UE 2025/2151) → SOTTO SOGLIA → art. 187</t>
  </si>
  <si>
    <t xml:space="preserve">   2. SCENARIO DI EQUILIBRIO ECONOMICO-FINANZIARIO (art. 177 co. 5) – ramp-up</t>
  </si>
  <si>
    <t xml:space="preserve">Totale ricavi 12 anni (scenario ramp-up)</t>
  </si>
  <si>
    <t xml:space="preserve">dal Conto Economico (occupazione progressiva)</t>
  </si>
  <si>
    <t xml:space="preserve">Totale costi 12 anni (incl. personale, amm., canone)</t>
  </si>
  <si>
    <t xml:space="preserve">RISULTATO OPERATIVO CUMULATO 12 anni</t>
  </si>
  <si>
    <t xml:space="preserve">Anno di break-even – art. 178, comma 2</t>
  </si>
  <si>
    <t xml:space="preserve">   3. PARAMETRI GARA (base d’asta)</t>
  </si>
  <si>
    <t xml:space="preserve">Base d'asta retta CA (€/mese, al ribasso)</t>
  </si>
  <si>
    <t xml:space="preserve">Pe1 — 7 punti (offerta economica)</t>
  </si>
  <si>
    <t xml:space="preserve">Base d'asta retta CD (€/mese)</t>
  </si>
  <si>
    <t xml:space="preserve">Ribasso CA si applica proporzionalmente</t>
  </si>
  <si>
    <t xml:space="preserve">Base d'asta canone annuo (IVA esclusa, al rialzo)</t>
  </si>
  <si>
    <t xml:space="preserve">Pe2 — 3 punti (offerta economica)</t>
  </si>
  <si>
    <t xml:space="preserve">Canone azzerato primi 3 anni; dovuto dal 4°</t>
  </si>
  <si>
    <t xml:space="preserve">Canone totale effettivo 12 anni</t>
  </si>
  <si>
    <t xml:space="preserve">9 annualità × base canone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</si>
</sst>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&quot; €&quot;;\-#,##0.00&quot; €&quot;;\-"/>
    <numFmt numFmtId="166" formatCode="0.0%;\-0.0%;\-"/>
    <numFmt numFmtId="167" formatCode="#,##0;\-#,##0;\-"/>
    <numFmt numFmtId="168" formatCode="0%"/>
    <numFmt numFmtId="169" formatCode="#,##0&quot; €&quot;;\-#,##0&quot; €&quot;;\-"/>
    <numFmt numFmtId="170" formatCode="#,##0;\(#,##0\);\–"/>
    <numFmt numFmtId="171" formatCode="General"/>
    <numFmt numFmtId="172" formatCode="0.0%"/>
  </numFmts>
  <fonts count="2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0000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2"/>
      <color rgb="FF1B2E4B"/>
      <name val="Calibri"/>
      <family val="0"/>
      <charset val="1"/>
    </font>
    <font>
      <i val="true"/>
      <sz val="9"/>
      <color rgb="FF8A96A3"/>
      <name val="Calibri"/>
      <family val="0"/>
      <charset val="1"/>
    </font>
    <font>
      <b val="true"/>
      <sz val="11"/>
      <color rgb="FFFFFFFF"/>
      <name val="Calibri"/>
      <family val="0"/>
      <charset val="1"/>
    </font>
    <font>
      <sz val="11"/>
      <color rgb="FF008000"/>
      <name val="Calibri"/>
      <family val="0"/>
      <charset val="1"/>
    </font>
    <font>
      <b val="true"/>
      <sz val="11"/>
      <name val="Calibri"/>
      <family val="0"/>
      <charset val="1"/>
    </font>
    <font>
      <b val="true"/>
      <sz val="11"/>
      <color rgb="FF1B2E4B"/>
      <name val="Calibri"/>
      <family val="0"/>
      <charset val="1"/>
    </font>
    <font>
      <b val="true"/>
      <sz val="11"/>
      <color rgb="FF0000FF"/>
      <name val="Calibri"/>
      <family val="0"/>
      <charset val="1"/>
    </font>
    <font>
      <sz val="8"/>
      <color rgb="FF8A96A3"/>
      <name val="Calibri"/>
      <family val="0"/>
      <charset val="1"/>
    </font>
    <font>
      <sz val="9"/>
      <color rgb="FF2C3A4A"/>
      <name val="Calibri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2C3A4A"/>
      </patternFill>
    </fill>
    <fill>
      <patternFill patternType="solid">
        <fgColor rgb="FFDEEBF7"/>
        <bgColor rgb="FFCCFFFF"/>
      </patternFill>
    </fill>
    <fill>
      <patternFill patternType="solid">
        <fgColor rgb="FF5B9BD5"/>
        <bgColor rgb="FF8A96A3"/>
      </patternFill>
    </fill>
    <fill>
      <patternFill patternType="solid">
        <fgColor rgb="FFFFF2CC"/>
        <bgColor rgb="FFFFFFFF"/>
      </patternFill>
    </fill>
    <fill>
      <patternFill patternType="solid">
        <fgColor rgb="FFC6EFCE"/>
        <bgColor rgb="FFDEEBF7"/>
      </patternFill>
    </fill>
    <fill>
      <patternFill patternType="solid">
        <fgColor rgb="FF1B2E4B"/>
        <bgColor rgb="FF2C3A4A"/>
      </patternFill>
    </fill>
    <fill>
      <patternFill patternType="solid">
        <fgColor rgb="FFF9B639"/>
        <bgColor rgb="FFFF99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9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5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5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6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5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1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7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1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1" fontId="13" fillId="8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2" fontId="1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2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5B9BD5"/>
      <rgbColor rgb="FF993366"/>
      <rgbColor rgb="FFFFF2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9B639"/>
      <rgbColor rgb="FFFF9900"/>
      <rgbColor rgb="FFFF6600"/>
      <rgbColor rgb="FF666699"/>
      <rgbColor rgb="FF8A96A3"/>
      <rgbColor rgb="FF1B2E4B"/>
      <rgbColor rgb="FF339966"/>
      <rgbColor rgb="FF003300"/>
      <rgbColor rgb="FF333300"/>
      <rgbColor rgb="FF993300"/>
      <rgbColor rgb="FF993366"/>
      <rgbColor rgb="FF1F4E78"/>
      <rgbColor rgb="FF2C3A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7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0"/>
    <col collapsed="false" customWidth="true" hidden="false" outlineLevel="0" max="2" min="2" style="1" width="22"/>
    <col collapsed="false" customWidth="true" hidden="false" outlineLevel="0" max="3" min="3" style="1" width="30"/>
    <col collapsed="false" customWidth="true" hidden="false" outlineLevel="0" max="4" min="4" style="1" width="38"/>
  </cols>
  <sheetData>
    <row r="1" customFormat="false" ht="27.75" hidden="false" customHeight="true" outlineLevel="0" collapsed="false">
      <c r="A1" s="2" t="s">
        <v>0</v>
      </c>
      <c r="B1" s="2"/>
      <c r="C1" s="2"/>
      <c r="D1" s="2"/>
    </row>
    <row r="2" customFormat="false" ht="27.75" hidden="false" customHeight="true" outlineLevel="0" collapsed="false">
      <c r="A2" s="2" t="s">
        <v>1</v>
      </c>
      <c r="B2" s="2"/>
      <c r="C2" s="2"/>
      <c r="D2" s="2"/>
    </row>
    <row r="4" customFormat="false" ht="15" hidden="false" customHeight="true" outlineLevel="0" collapsed="false">
      <c r="A4" s="3" t="s">
        <v>2</v>
      </c>
      <c r="B4" s="3" t="s">
        <v>3</v>
      </c>
      <c r="C4" s="3" t="s">
        <v>4</v>
      </c>
      <c r="D4" s="3" t="s">
        <v>5</v>
      </c>
    </row>
    <row r="5" customFormat="false" ht="19.5" hidden="false" customHeight="true" outlineLevel="0" collapsed="false">
      <c r="A5" s="4" t="s">
        <v>6</v>
      </c>
      <c r="B5" s="4"/>
      <c r="C5" s="4"/>
      <c r="D5" s="4"/>
    </row>
    <row r="6" customFormat="false" ht="15" hidden="false" customHeight="true" outlineLevel="0" collapsed="false">
      <c r="A6" s="5" t="s">
        <v>7</v>
      </c>
      <c r="B6" s="6" t="n">
        <v>12</v>
      </c>
      <c r="C6" s="5" t="s">
        <v>8</v>
      </c>
      <c r="D6" s="5" t="s">
        <v>9</v>
      </c>
    </row>
    <row r="7" customFormat="false" ht="15" hidden="false" customHeight="true" outlineLevel="0" collapsed="false">
      <c r="A7" s="5" t="s">
        <v>10</v>
      </c>
      <c r="B7" s="6" t="n">
        <v>2026</v>
      </c>
      <c r="C7" s="5" t="s">
        <v>11</v>
      </c>
      <c r="D7" s="5" t="s">
        <v>12</v>
      </c>
    </row>
    <row r="8" customFormat="false" ht="15" hidden="false" customHeight="true" outlineLevel="0" collapsed="false">
      <c r="A8" s="5" t="s">
        <v>13</v>
      </c>
      <c r="B8" s="6" t="n">
        <v>16</v>
      </c>
      <c r="C8" s="5" t="s">
        <v>14</v>
      </c>
      <c r="D8" s="5" t="s">
        <v>15</v>
      </c>
    </row>
    <row r="9" customFormat="false" ht="15" hidden="false" customHeight="true" outlineLevel="0" collapsed="false">
      <c r="A9" s="5" t="s">
        <v>16</v>
      </c>
      <c r="B9" s="6" t="n">
        <v>8</v>
      </c>
      <c r="C9" s="5" t="s">
        <v>14</v>
      </c>
      <c r="D9" s="5" t="s">
        <v>15</v>
      </c>
    </row>
    <row r="10" customFormat="false" ht="23.25" hidden="false" customHeight="true" outlineLevel="0" collapsed="false">
      <c r="A10" s="5" t="s">
        <v>17</v>
      </c>
      <c r="B10" s="6" t="n">
        <v>3</v>
      </c>
      <c r="C10" s="5" t="s">
        <v>18</v>
      </c>
      <c r="D10" s="5" t="s">
        <v>19</v>
      </c>
    </row>
    <row r="11" customFormat="false" ht="19.5" hidden="false" customHeight="true" outlineLevel="0" collapsed="false">
      <c r="A11" s="4" t="s">
        <v>20</v>
      </c>
      <c r="B11" s="4"/>
      <c r="C11" s="4"/>
      <c r="D11" s="4"/>
    </row>
    <row r="12" customFormat="false" ht="15" hidden="false" customHeight="true" outlineLevel="0" collapsed="false">
      <c r="A12" s="3" t="s">
        <v>21</v>
      </c>
      <c r="B12" s="3" t="s">
        <v>22</v>
      </c>
      <c r="C12" s="3" t="s">
        <v>23</v>
      </c>
      <c r="D12" s="3" t="s">
        <v>24</v>
      </c>
    </row>
    <row r="13" customFormat="false" ht="23.25" hidden="false" customHeight="true" outlineLevel="0" collapsed="false">
      <c r="A13" s="5" t="s">
        <v>25</v>
      </c>
      <c r="B13" s="7" t="s">
        <v>26</v>
      </c>
      <c r="C13" s="7" t="s">
        <v>27</v>
      </c>
      <c r="D13" s="5" t="s">
        <v>28</v>
      </c>
    </row>
    <row r="14" customFormat="false" ht="19.5" hidden="false" customHeight="true" outlineLevel="0" collapsed="false">
      <c r="A14" s="4" t="s">
        <v>29</v>
      </c>
      <c r="B14" s="4"/>
      <c r="C14" s="4"/>
      <c r="D14" s="4"/>
    </row>
    <row r="15" customFormat="false" ht="15" hidden="false" customHeight="true" outlineLevel="0" collapsed="false">
      <c r="A15" s="5" t="s">
        <v>30</v>
      </c>
      <c r="B15" s="8" t="n">
        <v>1850</v>
      </c>
      <c r="C15" s="5" t="s">
        <v>31</v>
      </c>
      <c r="D15" s="5" t="s">
        <v>32</v>
      </c>
    </row>
    <row r="16" customFormat="false" ht="15" hidden="false" customHeight="true" outlineLevel="0" collapsed="false">
      <c r="A16" s="5" t="s">
        <v>33</v>
      </c>
      <c r="B16" s="8" t="n">
        <v>500</v>
      </c>
      <c r="C16" s="5" t="s">
        <v>31</v>
      </c>
      <c r="D16" s="5" t="s">
        <v>32</v>
      </c>
    </row>
    <row r="17" customFormat="false" ht="15" hidden="false" customHeight="true" outlineLevel="0" collapsed="false">
      <c r="A17" s="5" t="s">
        <v>34</v>
      </c>
      <c r="B17" s="8" t="n">
        <v>6000</v>
      </c>
      <c r="C17" s="5" t="s">
        <v>35</v>
      </c>
      <c r="D17" s="5" t="s">
        <v>19</v>
      </c>
    </row>
    <row r="18" customFormat="false" ht="19.5" hidden="false" customHeight="true" outlineLevel="0" collapsed="false">
      <c r="A18" s="4" t="s">
        <v>36</v>
      </c>
      <c r="B18" s="4"/>
      <c r="C18" s="4"/>
      <c r="D18" s="4"/>
    </row>
    <row r="19" customFormat="false" ht="15" hidden="false" customHeight="true" outlineLevel="0" collapsed="false">
      <c r="A19" s="5" t="s">
        <v>37</v>
      </c>
      <c r="B19" s="9" t="n">
        <v>0</v>
      </c>
      <c r="C19" s="5" t="s">
        <v>38</v>
      </c>
      <c r="D19" s="5" t="s">
        <v>39</v>
      </c>
    </row>
    <row r="20" customFormat="false" ht="15" hidden="false" customHeight="true" outlineLevel="0" collapsed="false">
      <c r="A20" s="5" t="s">
        <v>40</v>
      </c>
      <c r="B20" s="9" t="n">
        <v>0</v>
      </c>
      <c r="C20" s="5" t="s">
        <v>38</v>
      </c>
      <c r="D20" s="5" t="s">
        <v>41</v>
      </c>
    </row>
    <row r="21" customFormat="false" ht="15" hidden="false" customHeight="true" outlineLevel="0" collapsed="false">
      <c r="A21" s="5" t="s">
        <v>42</v>
      </c>
      <c r="B21" s="9" t="n">
        <v>0</v>
      </c>
      <c r="C21" s="5" t="s">
        <v>38</v>
      </c>
      <c r="D21" s="5" t="s">
        <v>41</v>
      </c>
    </row>
    <row r="22" customFormat="false" ht="15" hidden="false" customHeight="true" outlineLevel="0" collapsed="false">
      <c r="A22" s="5" t="s">
        <v>43</v>
      </c>
      <c r="B22" s="9" t="n">
        <v>0</v>
      </c>
      <c r="C22" s="5" t="s">
        <v>44</v>
      </c>
      <c r="D22" s="5" t="s">
        <v>41</v>
      </c>
    </row>
    <row r="23" customFormat="false" ht="19.5" hidden="false" customHeight="true" outlineLevel="0" collapsed="false">
      <c r="A23" s="4" t="s">
        <v>45</v>
      </c>
      <c r="B23" s="4"/>
      <c r="C23" s="4"/>
      <c r="D23" s="4"/>
    </row>
    <row r="24" customFormat="false" ht="15" hidden="false" customHeight="true" outlineLevel="0" collapsed="false">
      <c r="A24" s="3" t="s">
        <v>46</v>
      </c>
      <c r="B24" s="3" t="s">
        <v>47</v>
      </c>
      <c r="C24" s="3" t="s">
        <v>48</v>
      </c>
      <c r="D24" s="3" t="s">
        <v>24</v>
      </c>
    </row>
    <row r="25" customFormat="false" ht="15" hidden="false" customHeight="true" outlineLevel="0" collapsed="false">
      <c r="A25" s="5" t="s">
        <v>49</v>
      </c>
      <c r="B25" s="10" t="n">
        <v>40000</v>
      </c>
      <c r="C25" s="5" t="s">
        <v>50</v>
      </c>
      <c r="D25" s="5" t="s">
        <v>51</v>
      </c>
    </row>
    <row r="26" customFormat="false" ht="15" hidden="false" customHeight="true" outlineLevel="0" collapsed="false">
      <c r="A26" s="5" t="s">
        <v>52</v>
      </c>
      <c r="B26" s="10" t="n">
        <v>20000</v>
      </c>
      <c r="C26" s="5" t="s">
        <v>53</v>
      </c>
      <c r="D26" s="5" t="s">
        <v>54</v>
      </c>
    </row>
    <row r="27" customFormat="false" ht="15" hidden="false" customHeight="true" outlineLevel="0" collapsed="false">
      <c r="A27" s="5" t="s">
        <v>55</v>
      </c>
      <c r="B27" s="10" t="n">
        <v>6000</v>
      </c>
      <c r="C27" s="5" t="s">
        <v>53</v>
      </c>
      <c r="D27" s="5" t="s">
        <v>56</v>
      </c>
    </row>
    <row r="28" customFormat="false" ht="15" hidden="false" customHeight="true" outlineLevel="0" collapsed="false">
      <c r="A28" s="5" t="s">
        <v>57</v>
      </c>
      <c r="B28" s="10" t="n">
        <v>5000</v>
      </c>
      <c r="C28" s="5" t="s">
        <v>53</v>
      </c>
      <c r="D28" s="5" t="s">
        <v>58</v>
      </c>
    </row>
    <row r="29" customFormat="false" ht="15" hidden="false" customHeight="true" outlineLevel="0" collapsed="false">
      <c r="A29" s="5" t="s">
        <v>59</v>
      </c>
      <c r="B29" s="10" t="n">
        <v>1000</v>
      </c>
      <c r="C29" s="5" t="s">
        <v>60</v>
      </c>
      <c r="D29" s="5" t="s">
        <v>61</v>
      </c>
    </row>
    <row r="30" customFormat="false" ht="15" hidden="false" customHeight="true" outlineLevel="0" collapsed="false">
      <c r="A30" s="5" t="s">
        <v>62</v>
      </c>
      <c r="B30" s="10" t="n">
        <v>3000</v>
      </c>
      <c r="C30" s="5" t="s">
        <v>63</v>
      </c>
      <c r="D30" s="5" t="s">
        <v>64</v>
      </c>
    </row>
    <row r="31" customFormat="false" ht="15" hidden="false" customHeight="true" outlineLevel="0" collapsed="false">
      <c r="A31" s="5" t="s">
        <v>65</v>
      </c>
      <c r="B31" s="10" t="n">
        <v>2000</v>
      </c>
      <c r="C31" s="5" t="s">
        <v>63</v>
      </c>
      <c r="D31" s="5" t="s">
        <v>66</v>
      </c>
    </row>
    <row r="32" customFormat="false" ht="15" hidden="false" customHeight="true" outlineLevel="0" collapsed="false">
      <c r="A32" s="5" t="s">
        <v>67</v>
      </c>
      <c r="B32" s="10" t="n">
        <v>5000</v>
      </c>
      <c r="C32" s="5" t="s">
        <v>68</v>
      </c>
      <c r="D32" s="5" t="s">
        <v>69</v>
      </c>
    </row>
    <row r="33" customFormat="false" ht="15" hidden="false" customHeight="true" outlineLevel="0" collapsed="false">
      <c r="A33" s="5" t="s">
        <v>70</v>
      </c>
      <c r="B33" s="10" t="n">
        <v>2000</v>
      </c>
      <c r="C33" s="5" t="s">
        <v>63</v>
      </c>
      <c r="D33" s="5" t="s">
        <v>71</v>
      </c>
    </row>
    <row r="34" customFormat="false" ht="15" hidden="false" customHeight="true" outlineLevel="0" collapsed="false">
      <c r="A34" s="5" t="s">
        <v>72</v>
      </c>
      <c r="B34" s="10" t="n">
        <v>1000</v>
      </c>
      <c r="C34" s="5" t="s">
        <v>73</v>
      </c>
      <c r="D34" s="5" t="s">
        <v>74</v>
      </c>
    </row>
    <row r="35" customFormat="false" ht="15" hidden="false" customHeight="true" outlineLevel="0" collapsed="false">
      <c r="A35" s="5" t="s">
        <v>75</v>
      </c>
      <c r="B35" s="10" t="n">
        <v>4000</v>
      </c>
      <c r="C35" s="5" t="s">
        <v>76</v>
      </c>
      <c r="D35" s="5" t="s">
        <v>77</v>
      </c>
    </row>
    <row r="36" customFormat="false" ht="15" hidden="false" customHeight="true" outlineLevel="0" collapsed="false">
      <c r="A36" s="5" t="s">
        <v>78</v>
      </c>
      <c r="B36" s="10" t="n">
        <v>2000</v>
      </c>
      <c r="C36" s="5" t="s">
        <v>76</v>
      </c>
      <c r="D36" s="5" t="s">
        <v>79</v>
      </c>
    </row>
    <row r="37" customFormat="false" ht="15" hidden="false" customHeight="true" outlineLevel="0" collapsed="false">
      <c r="A37" s="5" t="s">
        <v>80</v>
      </c>
      <c r="B37" s="10" t="n">
        <v>1000</v>
      </c>
      <c r="C37" s="5" t="s">
        <v>81</v>
      </c>
      <c r="D37" s="5" t="s">
        <v>82</v>
      </c>
    </row>
    <row r="38" customFormat="false" ht="15" hidden="false" customHeight="true" outlineLevel="0" collapsed="false">
      <c r="A38" s="11" t="s">
        <v>83</v>
      </c>
      <c r="B38" s="12" t="n">
        <f aca="false">SUM(B25:B37)</f>
        <v>92000</v>
      </c>
      <c r="C38" s="13"/>
      <c r="D38" s="13"/>
    </row>
    <row r="40" customFormat="false" ht="19.5" hidden="false" customHeight="true" outlineLevel="0" collapsed="false">
      <c r="A40" s="4" t="s">
        <v>84</v>
      </c>
      <c r="B40" s="4"/>
      <c r="C40" s="4"/>
      <c r="D40" s="4"/>
    </row>
    <row r="41" customFormat="false" ht="23.25" hidden="false" customHeight="true" outlineLevel="0" collapsed="false">
      <c r="A41" s="3" t="s">
        <v>85</v>
      </c>
      <c r="B41" s="3" t="s">
        <v>86</v>
      </c>
      <c r="C41" s="3" t="s">
        <v>87</v>
      </c>
      <c r="D41" s="3" t="s">
        <v>88</v>
      </c>
    </row>
    <row r="42" customFormat="false" ht="15" hidden="false" customHeight="true" outlineLevel="0" collapsed="false">
      <c r="A42" s="5" t="s">
        <v>89</v>
      </c>
      <c r="B42" s="10" t="n">
        <v>7072.06</v>
      </c>
      <c r="C42" s="5" t="s">
        <v>90</v>
      </c>
      <c r="D42" s="5" t="s">
        <v>91</v>
      </c>
    </row>
    <row r="43" customFormat="false" ht="15" hidden="false" customHeight="true" outlineLevel="0" collapsed="false">
      <c r="A43" s="5" t="s">
        <v>92</v>
      </c>
      <c r="B43" s="10" t="n">
        <v>26201.28</v>
      </c>
      <c r="C43" s="5" t="s">
        <v>93</v>
      </c>
      <c r="D43" s="5" t="s">
        <v>94</v>
      </c>
    </row>
    <row r="44" customFormat="false" ht="15" hidden="false" customHeight="true" outlineLevel="0" collapsed="false">
      <c r="A44" s="5" t="s">
        <v>95</v>
      </c>
      <c r="B44" s="10" t="n">
        <v>28793.38</v>
      </c>
      <c r="C44" s="5" t="s">
        <v>96</v>
      </c>
      <c r="D44" s="5" t="s">
        <v>94</v>
      </c>
    </row>
    <row r="45" customFormat="false" ht="15" hidden="false" customHeight="true" outlineLevel="0" collapsed="false">
      <c r="A45" s="5" t="s">
        <v>97</v>
      </c>
      <c r="B45" s="10" t="n">
        <v>152440.7</v>
      </c>
      <c r="C45" s="5" t="s">
        <v>98</v>
      </c>
      <c r="D45" s="5" t="s">
        <v>94</v>
      </c>
    </row>
    <row r="46" customFormat="false" ht="15" hidden="false" customHeight="true" outlineLevel="0" collapsed="false">
      <c r="A46" s="5" t="s">
        <v>99</v>
      </c>
      <c r="B46" s="10" t="n">
        <v>25742.22</v>
      </c>
      <c r="C46" s="5" t="s">
        <v>96</v>
      </c>
      <c r="D46" s="5" t="s">
        <v>94</v>
      </c>
    </row>
    <row r="47" customFormat="false" ht="15" hidden="false" customHeight="true" outlineLevel="0" collapsed="false">
      <c r="A47" s="5" t="s">
        <v>100</v>
      </c>
      <c r="B47" s="10" t="n">
        <v>17930.33</v>
      </c>
      <c r="C47" s="5" t="s">
        <v>101</v>
      </c>
      <c r="D47" s="5" t="s">
        <v>94</v>
      </c>
    </row>
    <row r="48" customFormat="false" ht="15" hidden="false" customHeight="true" outlineLevel="0" collapsed="false">
      <c r="A48" s="5" t="s">
        <v>102</v>
      </c>
      <c r="B48" s="10" t="n">
        <v>15000</v>
      </c>
      <c r="C48" s="5" t="s">
        <v>103</v>
      </c>
      <c r="D48" s="5" t="s">
        <v>104</v>
      </c>
    </row>
    <row r="49" customFormat="false" ht="15" hidden="false" customHeight="true" outlineLevel="0" collapsed="false">
      <c r="A49" s="11" t="s">
        <v>105</v>
      </c>
      <c r="B49" s="12" t="n">
        <f aca="false">SUM(B42:B48)</f>
        <v>273179.97</v>
      </c>
      <c r="C49" s="13"/>
      <c r="D49" s="13"/>
    </row>
    <row r="51" customFormat="false" ht="19.5" hidden="false" customHeight="true" outlineLevel="0" collapsed="false">
      <c r="A51" s="4" t="s">
        <v>106</v>
      </c>
      <c r="B51" s="4"/>
      <c r="C51" s="4"/>
      <c r="D51" s="4"/>
    </row>
    <row r="52" customFormat="false" ht="15" hidden="false" customHeight="true" outlineLevel="0" collapsed="false">
      <c r="A52" s="3" t="s">
        <v>107</v>
      </c>
      <c r="B52" s="3" t="s">
        <v>108</v>
      </c>
      <c r="C52" s="3" t="s">
        <v>109</v>
      </c>
      <c r="D52" s="3" t="s">
        <v>48</v>
      </c>
    </row>
    <row r="53" customFormat="false" ht="15" hidden="false" customHeight="true" outlineLevel="0" collapsed="false">
      <c r="A53" s="5" t="s">
        <v>110</v>
      </c>
      <c r="B53" s="10" t="n">
        <v>9600</v>
      </c>
      <c r="C53" s="14" t="n">
        <v>10</v>
      </c>
      <c r="D53" s="5" t="s">
        <v>111</v>
      </c>
    </row>
    <row r="54" customFormat="false" ht="15" hidden="false" customHeight="true" outlineLevel="0" collapsed="false">
      <c r="A54" s="5" t="s">
        <v>112</v>
      </c>
      <c r="B54" s="10" t="n">
        <v>4800</v>
      </c>
      <c r="C54" s="14" t="n">
        <v>10</v>
      </c>
      <c r="D54" s="5" t="s">
        <v>111</v>
      </c>
    </row>
    <row r="55" customFormat="false" ht="15" hidden="false" customHeight="true" outlineLevel="0" collapsed="false">
      <c r="A55" s="5" t="s">
        <v>113</v>
      </c>
      <c r="B55" s="10" t="n">
        <v>3360</v>
      </c>
      <c r="C55" s="14" t="n">
        <v>10</v>
      </c>
      <c r="D55" s="5" t="s">
        <v>111</v>
      </c>
    </row>
    <row r="56" customFormat="false" ht="15" hidden="false" customHeight="true" outlineLevel="0" collapsed="false">
      <c r="A56" s="5" t="s">
        <v>114</v>
      </c>
      <c r="B56" s="10" t="n">
        <v>8500</v>
      </c>
      <c r="C56" s="14" t="n">
        <v>10</v>
      </c>
      <c r="D56" s="5" t="s">
        <v>115</v>
      </c>
    </row>
    <row r="57" customFormat="false" ht="15" hidden="false" customHeight="true" outlineLevel="0" collapsed="false">
      <c r="A57" s="5" t="s">
        <v>116</v>
      </c>
      <c r="B57" s="10" t="n">
        <v>600</v>
      </c>
      <c r="C57" s="14" t="n">
        <v>5</v>
      </c>
      <c r="D57" s="5" t="s">
        <v>115</v>
      </c>
    </row>
    <row r="58" customFormat="false" ht="15" hidden="false" customHeight="true" outlineLevel="0" collapsed="false">
      <c r="A58" s="5" t="s">
        <v>117</v>
      </c>
      <c r="B58" s="10" t="n">
        <v>3000</v>
      </c>
      <c r="C58" s="14" t="n">
        <v>10</v>
      </c>
      <c r="D58" s="5" t="s">
        <v>115</v>
      </c>
    </row>
    <row r="59" customFormat="false" ht="15" hidden="false" customHeight="true" outlineLevel="0" collapsed="false">
      <c r="A59" s="5" t="s">
        <v>118</v>
      </c>
      <c r="B59" s="10" t="n">
        <v>5000</v>
      </c>
      <c r="C59" s="14" t="n">
        <v>5</v>
      </c>
      <c r="D59" s="5" t="s">
        <v>119</v>
      </c>
    </row>
    <row r="60" customFormat="false" ht="15" hidden="false" customHeight="true" outlineLevel="0" collapsed="false">
      <c r="A60" s="5" t="s">
        <v>120</v>
      </c>
      <c r="B60" s="10" t="n">
        <v>4800</v>
      </c>
      <c r="C60" s="14" t="n">
        <v>5</v>
      </c>
      <c r="D60" s="5" t="s">
        <v>121</v>
      </c>
    </row>
    <row r="61" customFormat="false" ht="15" hidden="false" customHeight="true" outlineLevel="0" collapsed="false">
      <c r="A61" s="5" t="s">
        <v>122</v>
      </c>
      <c r="B61" s="10" t="n">
        <v>3600</v>
      </c>
      <c r="C61" s="14" t="n">
        <v>5</v>
      </c>
      <c r="D61" s="5" t="s">
        <v>121</v>
      </c>
    </row>
    <row r="62" customFormat="false" ht="15" hidden="false" customHeight="true" outlineLevel="0" collapsed="false">
      <c r="A62" s="5" t="s">
        <v>123</v>
      </c>
      <c r="B62" s="10" t="n">
        <v>8000</v>
      </c>
      <c r="C62" s="14" t="n">
        <v>10</v>
      </c>
      <c r="D62" s="5" t="s">
        <v>124</v>
      </c>
    </row>
    <row r="63" customFormat="false" ht="15" hidden="false" customHeight="true" outlineLevel="0" collapsed="false">
      <c r="A63" s="5" t="s">
        <v>125</v>
      </c>
      <c r="B63" s="10" t="n">
        <v>4800</v>
      </c>
      <c r="C63" s="14" t="n">
        <v>5</v>
      </c>
      <c r="D63" s="5" t="s">
        <v>124</v>
      </c>
    </row>
    <row r="64" customFormat="false" ht="15" hidden="false" customHeight="true" outlineLevel="0" collapsed="false">
      <c r="A64" s="5" t="s">
        <v>126</v>
      </c>
      <c r="B64" s="10" t="n">
        <v>3500</v>
      </c>
      <c r="C64" s="14" t="n">
        <v>15</v>
      </c>
      <c r="D64" s="5" t="s">
        <v>124</v>
      </c>
    </row>
    <row r="65" customFormat="false" ht="15" hidden="false" customHeight="true" outlineLevel="0" collapsed="false">
      <c r="A65" s="5" t="s">
        <v>127</v>
      </c>
      <c r="B65" s="10" t="n">
        <v>4500</v>
      </c>
      <c r="C65" s="14" t="n">
        <v>7</v>
      </c>
      <c r="D65" s="5" t="s">
        <v>124</v>
      </c>
    </row>
    <row r="66" customFormat="false" ht="15" hidden="false" customHeight="true" outlineLevel="0" collapsed="false">
      <c r="A66" s="5" t="s">
        <v>128</v>
      </c>
      <c r="B66" s="10" t="n">
        <v>8000</v>
      </c>
      <c r="C66" s="14" t="n">
        <v>10</v>
      </c>
      <c r="D66" s="5" t="s">
        <v>124</v>
      </c>
    </row>
    <row r="67" customFormat="false" ht="15" hidden="false" customHeight="true" outlineLevel="0" collapsed="false">
      <c r="A67" s="5" t="s">
        <v>129</v>
      </c>
      <c r="B67" s="10" t="n">
        <v>3500</v>
      </c>
      <c r="C67" s="14" t="n">
        <v>7</v>
      </c>
      <c r="D67" s="5" t="s">
        <v>130</v>
      </c>
    </row>
    <row r="68" customFormat="false" ht="15" hidden="false" customHeight="true" outlineLevel="0" collapsed="false">
      <c r="A68" s="5" t="s">
        <v>131</v>
      </c>
      <c r="B68" s="10" t="n">
        <v>1500</v>
      </c>
      <c r="C68" s="14" t="n">
        <v>5</v>
      </c>
      <c r="D68" s="5" t="s">
        <v>130</v>
      </c>
    </row>
    <row r="69" customFormat="false" ht="15" hidden="false" customHeight="true" outlineLevel="0" collapsed="false">
      <c r="A69" s="5" t="s">
        <v>132</v>
      </c>
      <c r="B69" s="10" t="n">
        <v>1440</v>
      </c>
      <c r="C69" s="14" t="n">
        <v>10</v>
      </c>
      <c r="D69" s="5" t="s">
        <v>130</v>
      </c>
    </row>
    <row r="70" customFormat="false" ht="15" hidden="false" customHeight="true" outlineLevel="0" collapsed="false">
      <c r="A70" s="11" t="s">
        <v>133</v>
      </c>
      <c r="B70" s="12" t="n">
        <f aca="false">SUM(B53:B69)</f>
        <v>78500</v>
      </c>
      <c r="C70" s="13"/>
      <c r="D70" s="13"/>
    </row>
    <row r="72" customFormat="false" ht="19.5" hidden="false" customHeight="true" outlineLevel="0" collapsed="false">
      <c r="A72" s="4" t="s">
        <v>134</v>
      </c>
      <c r="B72" s="4"/>
      <c r="C72" s="4"/>
      <c r="D72" s="4"/>
    </row>
    <row r="73" customFormat="false" ht="15" hidden="false" customHeight="true" outlineLevel="0" collapsed="false">
      <c r="A73" s="15" t="s">
        <v>135</v>
      </c>
      <c r="B73" s="15"/>
      <c r="C73" s="15"/>
      <c r="D73" s="15"/>
    </row>
    <row r="74" customFormat="false" ht="15" hidden="false" customHeight="true" outlineLevel="0" collapsed="false">
      <c r="A74" s="15" t="s">
        <v>136</v>
      </c>
      <c r="B74" s="15"/>
      <c r="C74" s="15"/>
      <c r="D74" s="15"/>
    </row>
    <row r="75" customFormat="false" ht="15" hidden="false" customHeight="true" outlineLevel="0" collapsed="false">
      <c r="A75" s="15" t="s">
        <v>137</v>
      </c>
      <c r="B75" s="15"/>
      <c r="C75" s="15"/>
      <c r="D75" s="15"/>
    </row>
    <row r="76" customFormat="false" ht="15" hidden="false" customHeight="true" outlineLevel="0" collapsed="false">
      <c r="A76" s="15" t="s">
        <v>138</v>
      </c>
      <c r="B76" s="15"/>
      <c r="C76" s="15"/>
      <c r="D76" s="15"/>
    </row>
    <row r="77" customFormat="false" ht="15" hidden="false" customHeight="true" outlineLevel="0" collapsed="false">
      <c r="A77" s="15" t="s">
        <v>139</v>
      </c>
      <c r="B77" s="15"/>
      <c r="C77" s="15"/>
      <c r="D77" s="15"/>
    </row>
  </sheetData>
  <mergeCells count="15">
    <mergeCell ref="A1:D1"/>
    <mergeCell ref="A2:D2"/>
    <mergeCell ref="A5:D5"/>
    <mergeCell ref="A11:D11"/>
    <mergeCell ref="A14:D14"/>
    <mergeCell ref="A18:D18"/>
    <mergeCell ref="A23:D23"/>
    <mergeCell ref="A40:D40"/>
    <mergeCell ref="A51:D51"/>
    <mergeCell ref="A72:D72"/>
    <mergeCell ref="A73:D73"/>
    <mergeCell ref="A74:D74"/>
    <mergeCell ref="A75:D75"/>
    <mergeCell ref="A76:D76"/>
    <mergeCell ref="A77:D7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8"/>
    <col collapsed="false" customWidth="true" hidden="false" outlineLevel="0" max="14" min="2" style="1" width="14"/>
  </cols>
  <sheetData>
    <row r="1" customFormat="false" ht="27.75" hidden="false" customHeight="true" outlineLevel="0" collapsed="false">
      <c r="A1" s="2" t="s">
        <v>140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Format="false" ht="27.75" hidden="false" customHeight="true" outlineLevel="0" collapsed="false">
      <c r="A2" s="2" t="s">
        <v>141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customFormat="false" ht="15" hidden="false" customHeight="true" outlineLevel="0" collapsed="false">
      <c r="A4" s="3" t="s">
        <v>2</v>
      </c>
      <c r="B4" s="3" t="s">
        <v>142</v>
      </c>
      <c r="C4" s="3" t="s">
        <v>143</v>
      </c>
      <c r="D4" s="3" t="s">
        <v>144</v>
      </c>
      <c r="E4" s="3" t="s">
        <v>145</v>
      </c>
      <c r="F4" s="3" t="s">
        <v>146</v>
      </c>
      <c r="G4" s="3" t="s">
        <v>147</v>
      </c>
      <c r="H4" s="3" t="s">
        <v>148</v>
      </c>
      <c r="I4" s="3" t="s">
        <v>149</v>
      </c>
      <c r="J4" s="3" t="s">
        <v>150</v>
      </c>
      <c r="K4" s="3" t="s">
        <v>151</v>
      </c>
      <c r="L4" s="3" t="s">
        <v>152</v>
      </c>
      <c r="M4" s="3" t="s">
        <v>153</v>
      </c>
      <c r="N4" s="3" t="s">
        <v>154</v>
      </c>
    </row>
    <row r="5" customFormat="false" ht="15" hidden="false" customHeight="true" outlineLevel="0" collapsed="false">
      <c r="A5" s="5" t="s">
        <v>155</v>
      </c>
      <c r="B5" s="16" t="n">
        <f aca="false">IPOTESI!$B$8*B7</f>
        <v>11.2</v>
      </c>
      <c r="C5" s="16" t="n">
        <f aca="false">IPOTESI!$B$8*C7</f>
        <v>12.8</v>
      </c>
      <c r="D5" s="16" t="n">
        <f aca="false">IPOTESI!$B$8*D7</f>
        <v>13.92</v>
      </c>
      <c r="E5" s="16" t="n">
        <f aca="false">IPOTESI!$B$8*E7</f>
        <v>14.4</v>
      </c>
      <c r="F5" s="16" t="n">
        <f aca="false">IPOTESI!$B$8*F7</f>
        <v>16</v>
      </c>
      <c r="G5" s="16" t="n">
        <f aca="false">IPOTESI!$B$8*G7</f>
        <v>16</v>
      </c>
      <c r="H5" s="16" t="n">
        <f aca="false">IPOTESI!$B$8*H7</f>
        <v>16</v>
      </c>
      <c r="I5" s="16" t="n">
        <f aca="false">IPOTESI!$B$8*I7</f>
        <v>16</v>
      </c>
      <c r="J5" s="16" t="n">
        <f aca="false">IPOTESI!$B$8*J7</f>
        <v>16</v>
      </c>
      <c r="K5" s="16" t="n">
        <f aca="false">IPOTESI!$B$8*K7</f>
        <v>16</v>
      </c>
      <c r="L5" s="16" t="n">
        <f aca="false">IPOTESI!$B$8*L7</f>
        <v>16</v>
      </c>
      <c r="M5" s="16" t="n">
        <f aca="false">IPOTESI!$B$8*M7</f>
        <v>16</v>
      </c>
      <c r="N5" s="17" t="n">
        <f aca="false">SUM(B5:M5)</f>
        <v>180.32</v>
      </c>
    </row>
    <row r="6" customFormat="false" ht="15" hidden="false" customHeight="true" outlineLevel="0" collapsed="false">
      <c r="A6" s="5" t="s">
        <v>156</v>
      </c>
      <c r="B6" s="16" t="n">
        <f aca="false">IPOTESI!$B$9*B8</f>
        <v>5.6</v>
      </c>
      <c r="C6" s="16" t="n">
        <f aca="false">IPOTESI!$B$9*C8</f>
        <v>6.4</v>
      </c>
      <c r="D6" s="16" t="n">
        <f aca="false">IPOTESI!$B$9*D8</f>
        <v>6.96</v>
      </c>
      <c r="E6" s="16" t="n">
        <f aca="false">IPOTESI!$B$9*E8</f>
        <v>7.2</v>
      </c>
      <c r="F6" s="16" t="n">
        <f aca="false">IPOTESI!$B$9*F8</f>
        <v>8</v>
      </c>
      <c r="G6" s="16" t="n">
        <f aca="false">IPOTESI!$B$9*G8</f>
        <v>8</v>
      </c>
      <c r="H6" s="16" t="n">
        <f aca="false">IPOTESI!$B$9*H8</f>
        <v>8</v>
      </c>
      <c r="I6" s="16" t="n">
        <f aca="false">IPOTESI!$B$9*I8</f>
        <v>8</v>
      </c>
      <c r="J6" s="16" t="n">
        <f aca="false">IPOTESI!$B$9*J8</f>
        <v>8</v>
      </c>
      <c r="K6" s="16" t="n">
        <f aca="false">IPOTESI!$B$9*K8</f>
        <v>8</v>
      </c>
      <c r="L6" s="16" t="n">
        <f aca="false">IPOTESI!$B$9*L8</f>
        <v>8</v>
      </c>
      <c r="M6" s="16" t="n">
        <f aca="false">IPOTESI!$B$9*M8</f>
        <v>8</v>
      </c>
      <c r="N6" s="17" t="n">
        <f aca="false">SUM(B6:M6)</f>
        <v>90.16</v>
      </c>
    </row>
    <row r="7" customFormat="false" ht="15" hidden="false" customHeight="true" outlineLevel="0" collapsed="false">
      <c r="A7" s="5" t="s">
        <v>157</v>
      </c>
      <c r="B7" s="18" t="n">
        <v>0.7</v>
      </c>
      <c r="C7" s="18" t="n">
        <v>0.8</v>
      </c>
      <c r="D7" s="18" t="n">
        <v>0.87</v>
      </c>
      <c r="E7" s="18" t="n">
        <v>0.9</v>
      </c>
      <c r="F7" s="18" t="n">
        <v>1</v>
      </c>
      <c r="G7" s="18" t="n">
        <v>1</v>
      </c>
      <c r="H7" s="18" t="n">
        <v>1</v>
      </c>
      <c r="I7" s="18" t="n">
        <v>1</v>
      </c>
      <c r="J7" s="18" t="n">
        <v>1</v>
      </c>
      <c r="K7" s="18" t="n">
        <v>1</v>
      </c>
      <c r="L7" s="18" t="n">
        <v>1</v>
      </c>
      <c r="M7" s="18" t="n">
        <v>1</v>
      </c>
      <c r="N7" s="19" t="n">
        <f aca="false">AVERAGE(B7:M7)</f>
        <v>0.939166666666667</v>
      </c>
    </row>
    <row r="8" customFormat="false" ht="15" hidden="false" customHeight="true" outlineLevel="0" collapsed="false">
      <c r="A8" s="5" t="s">
        <v>158</v>
      </c>
      <c r="B8" s="18" t="n">
        <v>0.7</v>
      </c>
      <c r="C8" s="18" t="n">
        <v>0.8</v>
      </c>
      <c r="D8" s="18" t="n">
        <v>0.87</v>
      </c>
      <c r="E8" s="18" t="n">
        <v>0.9</v>
      </c>
      <c r="F8" s="18" t="n">
        <v>1</v>
      </c>
      <c r="G8" s="18" t="n">
        <v>1</v>
      </c>
      <c r="H8" s="18" t="n">
        <v>1</v>
      </c>
      <c r="I8" s="18" t="n">
        <v>1</v>
      </c>
      <c r="J8" s="18" t="n">
        <v>1</v>
      </c>
      <c r="K8" s="18" t="n">
        <v>1</v>
      </c>
      <c r="L8" s="18" t="n">
        <v>1</v>
      </c>
      <c r="M8" s="18" t="n">
        <v>1</v>
      </c>
      <c r="N8" s="19" t="n">
        <f aca="false">AVERAGE(B8:M8)</f>
        <v>0.939166666666667</v>
      </c>
    </row>
    <row r="10" customFormat="false" ht="15" hidden="false" customHeight="true" outlineLevel="0" collapsed="false">
      <c r="A10" s="5" t="s">
        <v>159</v>
      </c>
      <c r="B10" s="20" t="n">
        <f aca="false">IPOTESI!$B$15</f>
        <v>1850</v>
      </c>
      <c r="C10" s="20" t="n">
        <f aca="false">IPOTESI!$B$15</f>
        <v>1850</v>
      </c>
      <c r="D10" s="20" t="n">
        <f aca="false">IPOTESI!$B$15</f>
        <v>1850</v>
      </c>
      <c r="E10" s="20" t="n">
        <f aca="false">IPOTESI!$B$15</f>
        <v>1850</v>
      </c>
      <c r="F10" s="20" t="n">
        <f aca="false">IPOTESI!$B$15</f>
        <v>1850</v>
      </c>
      <c r="G10" s="20" t="n">
        <f aca="false">IPOTESI!$B$15</f>
        <v>1850</v>
      </c>
      <c r="H10" s="20" t="n">
        <f aca="false">IPOTESI!$B$15</f>
        <v>1850</v>
      </c>
      <c r="I10" s="20" t="n">
        <f aca="false">IPOTESI!$B$15</f>
        <v>1850</v>
      </c>
      <c r="J10" s="20" t="n">
        <f aca="false">IPOTESI!$B$15</f>
        <v>1850</v>
      </c>
      <c r="K10" s="20" t="n">
        <f aca="false">IPOTESI!$B$15</f>
        <v>1850</v>
      </c>
      <c r="L10" s="20" t="n">
        <f aca="false">IPOTESI!$B$15</f>
        <v>1850</v>
      </c>
      <c r="M10" s="20" t="n">
        <f aca="false">IPOTESI!$B$15</f>
        <v>1850</v>
      </c>
      <c r="N10" s="21" t="n">
        <f aca="false">AVERAGE(B10:M10)</f>
        <v>1850</v>
      </c>
    </row>
    <row r="11" customFormat="false" ht="15" hidden="false" customHeight="true" outlineLevel="0" collapsed="false">
      <c r="A11" s="5" t="s">
        <v>160</v>
      </c>
      <c r="B11" s="20" t="n">
        <f aca="false">IPOTESI!$B$16</f>
        <v>500</v>
      </c>
      <c r="C11" s="20" t="n">
        <f aca="false">IPOTESI!$B$16</f>
        <v>500</v>
      </c>
      <c r="D11" s="20" t="n">
        <f aca="false">IPOTESI!$B$16</f>
        <v>500</v>
      </c>
      <c r="E11" s="20" t="n">
        <f aca="false">IPOTESI!$B$16</f>
        <v>500</v>
      </c>
      <c r="F11" s="20" t="n">
        <f aca="false">IPOTESI!$B$16</f>
        <v>500</v>
      </c>
      <c r="G11" s="20" t="n">
        <f aca="false">IPOTESI!$B$16</f>
        <v>500</v>
      </c>
      <c r="H11" s="20" t="n">
        <f aca="false">IPOTESI!$B$16</f>
        <v>500</v>
      </c>
      <c r="I11" s="20" t="n">
        <f aca="false">IPOTESI!$B$16</f>
        <v>500</v>
      </c>
      <c r="J11" s="20" t="n">
        <f aca="false">IPOTESI!$B$16</f>
        <v>500</v>
      </c>
      <c r="K11" s="20" t="n">
        <f aca="false">IPOTESI!$B$16</f>
        <v>500</v>
      </c>
      <c r="L11" s="20" t="n">
        <f aca="false">IPOTESI!$B$16</f>
        <v>500</v>
      </c>
      <c r="M11" s="20" t="n">
        <f aca="false">IPOTESI!$B$16</f>
        <v>500</v>
      </c>
      <c r="N11" s="21" t="n">
        <f aca="false">AVERAGE(B11:M11)</f>
        <v>500</v>
      </c>
    </row>
    <row r="13" customFormat="false" ht="15" hidden="false" customHeight="true" outlineLevel="0" collapsed="false">
      <c r="A13" s="11" t="s">
        <v>161</v>
      </c>
      <c r="B13" s="22" t="n">
        <f aca="false">B5*B10*12</f>
        <v>248640</v>
      </c>
      <c r="C13" s="22" t="n">
        <f aca="false">C5*C10*12</f>
        <v>284160</v>
      </c>
      <c r="D13" s="22" t="n">
        <f aca="false">D5*D10*12</f>
        <v>309024</v>
      </c>
      <c r="E13" s="22" t="n">
        <f aca="false">E5*E10*12</f>
        <v>319680</v>
      </c>
      <c r="F13" s="22" t="n">
        <f aca="false">F5*F10*12</f>
        <v>355200</v>
      </c>
      <c r="G13" s="22" t="n">
        <f aca="false">G5*G10*12</f>
        <v>355200</v>
      </c>
      <c r="H13" s="22" t="n">
        <f aca="false">H5*H10*12</f>
        <v>355200</v>
      </c>
      <c r="I13" s="22" t="n">
        <f aca="false">I5*I10*12</f>
        <v>355200</v>
      </c>
      <c r="J13" s="22" t="n">
        <f aca="false">J5*J10*12</f>
        <v>355200</v>
      </c>
      <c r="K13" s="22" t="n">
        <f aca="false">K5*K10*12</f>
        <v>355200</v>
      </c>
      <c r="L13" s="22" t="n">
        <f aca="false">L5*L10*12</f>
        <v>355200</v>
      </c>
      <c r="M13" s="22" t="n">
        <f aca="false">M5*M10*12</f>
        <v>355200</v>
      </c>
      <c r="N13" s="23" t="n">
        <f aca="false">SUM(B13:M13)</f>
        <v>4003104</v>
      </c>
    </row>
    <row r="14" customFormat="false" ht="15" hidden="false" customHeight="true" outlineLevel="0" collapsed="false">
      <c r="A14" s="11" t="s">
        <v>162</v>
      </c>
      <c r="B14" s="22" t="n">
        <f aca="false">B6*B11*12</f>
        <v>33600</v>
      </c>
      <c r="C14" s="22" t="n">
        <f aca="false">C6*C11*12</f>
        <v>38400</v>
      </c>
      <c r="D14" s="22" t="n">
        <f aca="false">D6*D11*12</f>
        <v>41760</v>
      </c>
      <c r="E14" s="22" t="n">
        <f aca="false">E6*E11*12</f>
        <v>43200</v>
      </c>
      <c r="F14" s="22" t="n">
        <f aca="false">F6*F11*12</f>
        <v>48000</v>
      </c>
      <c r="G14" s="22" t="n">
        <f aca="false">G6*G11*12</f>
        <v>48000</v>
      </c>
      <c r="H14" s="22" t="n">
        <f aca="false">H6*H11*12</f>
        <v>48000</v>
      </c>
      <c r="I14" s="22" t="n">
        <f aca="false">I6*I11*12</f>
        <v>48000</v>
      </c>
      <c r="J14" s="22" t="n">
        <f aca="false">J6*J11*12</f>
        <v>48000</v>
      </c>
      <c r="K14" s="22" t="n">
        <f aca="false">K6*K11*12</f>
        <v>48000</v>
      </c>
      <c r="L14" s="22" t="n">
        <f aca="false">L6*L11*12</f>
        <v>48000</v>
      </c>
      <c r="M14" s="22" t="n">
        <f aca="false">M6*M11*12</f>
        <v>48000</v>
      </c>
      <c r="N14" s="23" t="n">
        <f aca="false">SUM(B14:M14)</f>
        <v>540960</v>
      </c>
    </row>
    <row r="15" customFormat="false" ht="15" hidden="false" customHeight="true" outlineLevel="0" collapsed="false">
      <c r="A15" s="24" t="s">
        <v>163</v>
      </c>
      <c r="B15" s="23" t="n">
        <f aca="false">B13+B14</f>
        <v>282240</v>
      </c>
      <c r="C15" s="23" t="n">
        <f aca="false">C13+C14</f>
        <v>322560</v>
      </c>
      <c r="D15" s="23" t="n">
        <f aca="false">D13+D14</f>
        <v>350784</v>
      </c>
      <c r="E15" s="23" t="n">
        <f aca="false">E13+E14</f>
        <v>362880</v>
      </c>
      <c r="F15" s="23" t="n">
        <f aca="false">F13+F14</f>
        <v>403200</v>
      </c>
      <c r="G15" s="23" t="n">
        <f aca="false">G13+G14</f>
        <v>403200</v>
      </c>
      <c r="H15" s="23" t="n">
        <f aca="false">H13+H14</f>
        <v>403200</v>
      </c>
      <c r="I15" s="23" t="n">
        <f aca="false">I13+I14</f>
        <v>403200</v>
      </c>
      <c r="J15" s="23" t="n">
        <f aca="false">J13+J14</f>
        <v>403200</v>
      </c>
      <c r="K15" s="23" t="n">
        <f aca="false">K13+K14</f>
        <v>403200</v>
      </c>
      <c r="L15" s="23" t="n">
        <f aca="false">L13+L14</f>
        <v>403200</v>
      </c>
      <c r="M15" s="23" t="n">
        <f aca="false">M13+M14</f>
        <v>403200</v>
      </c>
      <c r="N15" s="25" t="n">
        <f aca="false">SUM(B15:M15)</f>
        <v>4544064</v>
      </c>
    </row>
    <row r="17" customFormat="false" ht="15" hidden="false" customHeight="true" outlineLevel="0" collapsed="false">
      <c r="A17" s="26" t="s">
        <v>164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</sheetData>
  <mergeCells count="3">
    <mergeCell ref="A1:N1"/>
    <mergeCell ref="A2:N2"/>
    <mergeCell ref="A17:N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1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36"/>
    <col collapsed="false" customWidth="true" hidden="false" outlineLevel="0" max="2" min="2" style="1" width="14"/>
    <col collapsed="false" customWidth="true" hidden="false" outlineLevel="0" max="3" min="3" style="1" width="13"/>
    <col collapsed="false" customWidth="true" hidden="false" outlineLevel="0" max="16" min="4" style="1" width="12"/>
  </cols>
  <sheetData>
    <row r="1" customFormat="false" ht="27.75" hidden="false" customHeight="true" outlineLevel="0" collapsed="false">
      <c r="A1" s="2" t="s">
        <v>165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3" customFormat="false" ht="15" hidden="false" customHeight="true" outlineLevel="0" collapsed="false">
      <c r="A3" s="3" t="s">
        <v>166</v>
      </c>
      <c r="B3" s="3" t="s">
        <v>167</v>
      </c>
      <c r="C3" s="3" t="s">
        <v>168</v>
      </c>
      <c r="D3" s="3" t="s">
        <v>142</v>
      </c>
      <c r="E3" s="3" t="s">
        <v>143</v>
      </c>
      <c r="F3" s="3" t="s">
        <v>144</v>
      </c>
      <c r="G3" s="3" t="s">
        <v>145</v>
      </c>
      <c r="H3" s="3" t="s">
        <v>146</v>
      </c>
      <c r="I3" s="3" t="s">
        <v>147</v>
      </c>
      <c r="J3" s="3" t="s">
        <v>148</v>
      </c>
      <c r="K3" s="3" t="s">
        <v>149</v>
      </c>
      <c r="L3" s="3" t="s">
        <v>150</v>
      </c>
      <c r="M3" s="3" t="s">
        <v>151</v>
      </c>
      <c r="N3" s="3" t="s">
        <v>152</v>
      </c>
      <c r="O3" s="3" t="s">
        <v>153</v>
      </c>
      <c r="P3" s="3" t="s">
        <v>154</v>
      </c>
    </row>
    <row r="4" customFormat="false" ht="15" hidden="false" customHeight="true" outlineLevel="0" collapsed="false">
      <c r="A4" s="5" t="s">
        <v>89</v>
      </c>
      <c r="B4" s="27" t="n">
        <f aca="false">IPOTESI!$B$42</f>
        <v>7072.06</v>
      </c>
      <c r="C4" s="28" t="s">
        <v>169</v>
      </c>
      <c r="D4" s="29" t="n">
        <f aca="false">$B$4</f>
        <v>7072.06</v>
      </c>
      <c r="E4" s="29" t="n">
        <f aca="false">$B$4</f>
        <v>7072.06</v>
      </c>
      <c r="F4" s="29" t="n">
        <f aca="false">$B$4</f>
        <v>7072.06</v>
      </c>
      <c r="G4" s="29" t="n">
        <f aca="false">$B$4</f>
        <v>7072.06</v>
      </c>
      <c r="H4" s="29" t="n">
        <f aca="false">$B$4</f>
        <v>7072.06</v>
      </c>
      <c r="I4" s="29" t="n">
        <f aca="false">$B$4</f>
        <v>7072.06</v>
      </c>
      <c r="J4" s="29" t="n">
        <f aca="false">$B$4</f>
        <v>7072.06</v>
      </c>
      <c r="K4" s="29" t="n">
        <f aca="false">$B$4</f>
        <v>7072.06</v>
      </c>
      <c r="L4" s="29" t="n">
        <f aca="false">$B$4</f>
        <v>7072.06</v>
      </c>
      <c r="M4" s="29" t="n">
        <f aca="false">$B$4</f>
        <v>7072.06</v>
      </c>
      <c r="N4" s="29" t="n">
        <f aca="false">$B$4</f>
        <v>7072.06</v>
      </c>
      <c r="O4" s="29" t="n">
        <f aca="false">$B$4</f>
        <v>7072.06</v>
      </c>
      <c r="P4" s="22" t="n">
        <f aca="false">SUM(D4:O4)</f>
        <v>84864.72</v>
      </c>
    </row>
    <row r="5" customFormat="false" ht="15" hidden="false" customHeight="true" outlineLevel="0" collapsed="false">
      <c r="A5" s="5" t="s">
        <v>92</v>
      </c>
      <c r="B5" s="27" t="n">
        <f aca="false">IPOTESI!$B$43</f>
        <v>26201.28</v>
      </c>
      <c r="C5" s="28" t="s">
        <v>170</v>
      </c>
      <c r="D5" s="29" t="n">
        <f aca="false">$B$5</f>
        <v>26201.28</v>
      </c>
      <c r="E5" s="29" t="n">
        <f aca="false">$B$5</f>
        <v>26201.28</v>
      </c>
      <c r="F5" s="29" t="n">
        <f aca="false">$B$5</f>
        <v>26201.28</v>
      </c>
      <c r="G5" s="29" t="n">
        <f aca="false">$B$5</f>
        <v>26201.28</v>
      </c>
      <c r="H5" s="29" t="n">
        <f aca="false">$B$5</f>
        <v>26201.28</v>
      </c>
      <c r="I5" s="29" t="n">
        <f aca="false">$B$5</f>
        <v>26201.28</v>
      </c>
      <c r="J5" s="29" t="n">
        <f aca="false">$B$5</f>
        <v>26201.28</v>
      </c>
      <c r="K5" s="29" t="n">
        <f aca="false">$B$5</f>
        <v>26201.28</v>
      </c>
      <c r="L5" s="29" t="n">
        <f aca="false">$B$5</f>
        <v>26201.28</v>
      </c>
      <c r="M5" s="29" t="n">
        <f aca="false">$B$5</f>
        <v>26201.28</v>
      </c>
      <c r="N5" s="29" t="n">
        <f aca="false">$B$5</f>
        <v>26201.28</v>
      </c>
      <c r="O5" s="29" t="n">
        <f aca="false">$B$5</f>
        <v>26201.28</v>
      </c>
      <c r="P5" s="22" t="n">
        <f aca="false">SUM(D5:O5)</f>
        <v>314415.36</v>
      </c>
    </row>
    <row r="6" customFormat="false" ht="15" hidden="false" customHeight="true" outlineLevel="0" collapsed="false">
      <c r="A6" s="5" t="s">
        <v>95</v>
      </c>
      <c r="B6" s="27" t="n">
        <f aca="false">IPOTESI!$B$44</f>
        <v>28793.38</v>
      </c>
      <c r="C6" s="28" t="s">
        <v>171</v>
      </c>
      <c r="D6" s="29" t="n">
        <f aca="false">$B$6</f>
        <v>28793.38</v>
      </c>
      <c r="E6" s="29" t="n">
        <f aca="false">$B$6</f>
        <v>28793.38</v>
      </c>
      <c r="F6" s="29" t="n">
        <f aca="false">$B$6</f>
        <v>28793.38</v>
      </c>
      <c r="G6" s="29" t="n">
        <f aca="false">$B$6</f>
        <v>28793.38</v>
      </c>
      <c r="H6" s="29" t="n">
        <f aca="false">$B$6</f>
        <v>28793.38</v>
      </c>
      <c r="I6" s="29" t="n">
        <f aca="false">$B$6</f>
        <v>28793.38</v>
      </c>
      <c r="J6" s="29" t="n">
        <f aca="false">$B$6</f>
        <v>28793.38</v>
      </c>
      <c r="K6" s="29" t="n">
        <f aca="false">$B$6</f>
        <v>28793.38</v>
      </c>
      <c r="L6" s="29" t="n">
        <f aca="false">$B$6</f>
        <v>28793.38</v>
      </c>
      <c r="M6" s="29" t="n">
        <f aca="false">$B$6</f>
        <v>28793.38</v>
      </c>
      <c r="N6" s="29" t="n">
        <f aca="false">$B$6</f>
        <v>28793.38</v>
      </c>
      <c r="O6" s="29" t="n">
        <f aca="false">$B$6</f>
        <v>28793.38</v>
      </c>
      <c r="P6" s="22" t="n">
        <f aca="false">SUM(D6:O6)</f>
        <v>345520.56</v>
      </c>
    </row>
    <row r="7" customFormat="false" ht="15" hidden="false" customHeight="true" outlineLevel="0" collapsed="false">
      <c r="A7" s="5" t="s">
        <v>97</v>
      </c>
      <c r="B7" s="27" t="n">
        <f aca="false">IPOTESI!$B$45</f>
        <v>152440.7</v>
      </c>
      <c r="C7" s="28" t="s">
        <v>172</v>
      </c>
      <c r="D7" s="29" t="n">
        <f aca="false">$B$7</f>
        <v>152440.7</v>
      </c>
      <c r="E7" s="29" t="n">
        <f aca="false">$B$7</f>
        <v>152440.7</v>
      </c>
      <c r="F7" s="29" t="n">
        <f aca="false">$B$7</f>
        <v>152440.7</v>
      </c>
      <c r="G7" s="29" t="n">
        <f aca="false">$B$7</f>
        <v>152440.7</v>
      </c>
      <c r="H7" s="29" t="n">
        <f aca="false">$B$7</f>
        <v>152440.7</v>
      </c>
      <c r="I7" s="29" t="n">
        <f aca="false">$B$7</f>
        <v>152440.7</v>
      </c>
      <c r="J7" s="29" t="n">
        <f aca="false">$B$7</f>
        <v>152440.7</v>
      </c>
      <c r="K7" s="29" t="n">
        <f aca="false">$B$7</f>
        <v>152440.7</v>
      </c>
      <c r="L7" s="29" t="n">
        <f aca="false">$B$7</f>
        <v>152440.7</v>
      </c>
      <c r="M7" s="29" t="n">
        <f aca="false">$B$7</f>
        <v>152440.7</v>
      </c>
      <c r="N7" s="29" t="n">
        <f aca="false">$B$7</f>
        <v>152440.7</v>
      </c>
      <c r="O7" s="29" t="n">
        <f aca="false">$B$7</f>
        <v>152440.7</v>
      </c>
      <c r="P7" s="22" t="n">
        <f aca="false">SUM(D7:O7)</f>
        <v>1829288.4</v>
      </c>
    </row>
    <row r="8" customFormat="false" ht="15" hidden="false" customHeight="true" outlineLevel="0" collapsed="false">
      <c r="A8" s="5" t="s">
        <v>99</v>
      </c>
      <c r="B8" s="27" t="n">
        <f aca="false">IPOTESI!$B$46</f>
        <v>25742.22</v>
      </c>
      <c r="C8" s="28" t="s">
        <v>171</v>
      </c>
      <c r="D8" s="29" t="n">
        <f aca="false">$B$8</f>
        <v>25742.22</v>
      </c>
      <c r="E8" s="29" t="n">
        <f aca="false">$B$8</f>
        <v>25742.22</v>
      </c>
      <c r="F8" s="29" t="n">
        <f aca="false">$B$8</f>
        <v>25742.22</v>
      </c>
      <c r="G8" s="29" t="n">
        <f aca="false">$B$8</f>
        <v>25742.22</v>
      </c>
      <c r="H8" s="29" t="n">
        <f aca="false">$B$8</f>
        <v>25742.22</v>
      </c>
      <c r="I8" s="29" t="n">
        <f aca="false">$B$8</f>
        <v>25742.22</v>
      </c>
      <c r="J8" s="29" t="n">
        <f aca="false">$B$8</f>
        <v>25742.22</v>
      </c>
      <c r="K8" s="29" t="n">
        <f aca="false">$B$8</f>
        <v>25742.22</v>
      </c>
      <c r="L8" s="29" t="n">
        <f aca="false">$B$8</f>
        <v>25742.22</v>
      </c>
      <c r="M8" s="29" t="n">
        <f aca="false">$B$8</f>
        <v>25742.22</v>
      </c>
      <c r="N8" s="29" t="n">
        <f aca="false">$B$8</f>
        <v>25742.22</v>
      </c>
      <c r="O8" s="29" t="n">
        <f aca="false">$B$8</f>
        <v>25742.22</v>
      </c>
      <c r="P8" s="22" t="n">
        <f aca="false">SUM(D8:O8)</f>
        <v>308906.64</v>
      </c>
    </row>
    <row r="9" customFormat="false" ht="15" hidden="false" customHeight="true" outlineLevel="0" collapsed="false">
      <c r="A9" s="5" t="s">
        <v>100</v>
      </c>
      <c r="B9" s="27" t="n">
        <f aca="false">IPOTESI!$B$47</f>
        <v>17930.33</v>
      </c>
      <c r="C9" s="28" t="s">
        <v>173</v>
      </c>
      <c r="D9" s="29" t="n">
        <f aca="false">$B$9</f>
        <v>17930.33</v>
      </c>
      <c r="E9" s="29" t="n">
        <f aca="false">$B$9</f>
        <v>17930.33</v>
      </c>
      <c r="F9" s="29" t="n">
        <f aca="false">$B$9</f>
        <v>17930.33</v>
      </c>
      <c r="G9" s="29" t="n">
        <f aca="false">$B$9</f>
        <v>17930.33</v>
      </c>
      <c r="H9" s="29" t="n">
        <f aca="false">$B$9</f>
        <v>17930.33</v>
      </c>
      <c r="I9" s="29" t="n">
        <f aca="false">$B$9</f>
        <v>17930.33</v>
      </c>
      <c r="J9" s="29" t="n">
        <f aca="false">$B$9</f>
        <v>17930.33</v>
      </c>
      <c r="K9" s="29" t="n">
        <f aca="false">$B$9</f>
        <v>17930.33</v>
      </c>
      <c r="L9" s="29" t="n">
        <f aca="false">$B$9</f>
        <v>17930.33</v>
      </c>
      <c r="M9" s="29" t="n">
        <f aca="false">$B$9</f>
        <v>17930.33</v>
      </c>
      <c r="N9" s="29" t="n">
        <f aca="false">$B$9</f>
        <v>17930.33</v>
      </c>
      <c r="O9" s="29" t="n">
        <f aca="false">$B$9</f>
        <v>17930.33</v>
      </c>
      <c r="P9" s="22" t="n">
        <f aca="false">SUM(D9:O9)</f>
        <v>215163.96</v>
      </c>
    </row>
    <row r="10" customFormat="false" ht="15" hidden="false" customHeight="true" outlineLevel="0" collapsed="false">
      <c r="A10" s="5" t="s">
        <v>102</v>
      </c>
      <c r="B10" s="27" t="n">
        <f aca="false">IPOTESI!$B$48</f>
        <v>15000</v>
      </c>
      <c r="C10" s="28" t="s">
        <v>104</v>
      </c>
      <c r="D10" s="29" t="n">
        <f aca="false">$B$10</f>
        <v>15000</v>
      </c>
      <c r="E10" s="29" t="n">
        <f aca="false">$B$10</f>
        <v>15000</v>
      </c>
      <c r="F10" s="29" t="n">
        <f aca="false">$B$10</f>
        <v>15000</v>
      </c>
      <c r="G10" s="29" t="n">
        <f aca="false">$B$10</f>
        <v>15000</v>
      </c>
      <c r="H10" s="29" t="n">
        <f aca="false">$B$10</f>
        <v>15000</v>
      </c>
      <c r="I10" s="29" t="n">
        <f aca="false">$B$10</f>
        <v>15000</v>
      </c>
      <c r="J10" s="29" t="n">
        <f aca="false">$B$10</f>
        <v>15000</v>
      </c>
      <c r="K10" s="29" t="n">
        <f aca="false">$B$10</f>
        <v>15000</v>
      </c>
      <c r="L10" s="29" t="n">
        <f aca="false">$B$10</f>
        <v>15000</v>
      </c>
      <c r="M10" s="29" t="n">
        <f aca="false">$B$10</f>
        <v>15000</v>
      </c>
      <c r="N10" s="29" t="n">
        <f aca="false">$B$10</f>
        <v>15000</v>
      </c>
      <c r="O10" s="29" t="n">
        <f aca="false">$B$10</f>
        <v>15000</v>
      </c>
      <c r="P10" s="22" t="n">
        <f aca="false">SUM(D10:O10)</f>
        <v>180000</v>
      </c>
    </row>
    <row r="11" customFormat="false" ht="15" hidden="false" customHeight="true" outlineLevel="0" collapsed="false">
      <c r="A11" s="24" t="s">
        <v>174</v>
      </c>
      <c r="B11" s="30" t="n">
        <f aca="false">SUM(B4:B10)</f>
        <v>273179.97</v>
      </c>
      <c r="C11" s="31"/>
      <c r="D11" s="30" t="n">
        <f aca="false">SUM(D4:D10)</f>
        <v>273179.97</v>
      </c>
      <c r="E11" s="30" t="n">
        <f aca="false">SUM(E4:E10)</f>
        <v>273179.97</v>
      </c>
      <c r="F11" s="30" t="n">
        <f aca="false">SUM(F4:F10)</f>
        <v>273179.97</v>
      </c>
      <c r="G11" s="30" t="n">
        <f aca="false">SUM(G4:G10)</f>
        <v>273179.97</v>
      </c>
      <c r="H11" s="30" t="n">
        <f aca="false">SUM(H4:H10)</f>
        <v>273179.97</v>
      </c>
      <c r="I11" s="30" t="n">
        <f aca="false">SUM(I4:I10)</f>
        <v>273179.97</v>
      </c>
      <c r="J11" s="30" t="n">
        <f aca="false">SUM(J4:J10)</f>
        <v>273179.97</v>
      </c>
      <c r="K11" s="30" t="n">
        <f aca="false">SUM(K4:K10)</f>
        <v>273179.97</v>
      </c>
      <c r="L11" s="30" t="n">
        <f aca="false">SUM(L4:L10)</f>
        <v>273179.97</v>
      </c>
      <c r="M11" s="30" t="n">
        <f aca="false">SUM(M4:M10)</f>
        <v>273179.97</v>
      </c>
      <c r="N11" s="30" t="n">
        <f aca="false">SUM(N4:N10)</f>
        <v>273179.97</v>
      </c>
      <c r="O11" s="30" t="n">
        <f aca="false">SUM(O4:O10)</f>
        <v>273179.97</v>
      </c>
      <c r="P11" s="25" t="n">
        <f aca="false">SUM(P4:P10)</f>
        <v>3278159.64</v>
      </c>
    </row>
  </sheetData>
  <mergeCells count="1">
    <mergeCell ref="A1:N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4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2"/>
    <col collapsed="false" customWidth="true" hidden="false" outlineLevel="0" max="3" min="2" style="1" width="13"/>
    <col collapsed="false" customWidth="true" hidden="false" outlineLevel="0" max="16" min="4" style="1" width="12"/>
  </cols>
  <sheetData>
    <row r="1" customFormat="false" ht="27.75" hidden="false" customHeight="true" outlineLevel="0" collapsed="false">
      <c r="A1" s="2" t="s">
        <v>175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3" customFormat="false" ht="15" hidden="false" customHeight="true" outlineLevel="0" collapsed="false">
      <c r="A3" s="3" t="s">
        <v>46</v>
      </c>
      <c r="B3" s="3" t="s">
        <v>167</v>
      </c>
      <c r="C3" s="3" t="s">
        <v>48</v>
      </c>
      <c r="D3" s="3" t="s">
        <v>142</v>
      </c>
      <c r="E3" s="3" t="s">
        <v>143</v>
      </c>
      <c r="F3" s="3" t="s">
        <v>144</v>
      </c>
      <c r="G3" s="3" t="s">
        <v>145</v>
      </c>
      <c r="H3" s="3" t="s">
        <v>146</v>
      </c>
      <c r="I3" s="3" t="s">
        <v>147</v>
      </c>
      <c r="J3" s="3" t="s">
        <v>148</v>
      </c>
      <c r="K3" s="3" t="s">
        <v>149</v>
      </c>
      <c r="L3" s="3" t="s">
        <v>150</v>
      </c>
      <c r="M3" s="3" t="s">
        <v>151</v>
      </c>
      <c r="N3" s="3" t="s">
        <v>152</v>
      </c>
      <c r="O3" s="3" t="s">
        <v>153</v>
      </c>
      <c r="P3" s="3" t="s">
        <v>154</v>
      </c>
    </row>
    <row r="4" customFormat="false" ht="15" hidden="false" customHeight="true" outlineLevel="0" collapsed="false">
      <c r="A4" s="5" t="s">
        <v>49</v>
      </c>
      <c r="B4" s="27" t="n">
        <f aca="false">IPOTESI!$B$25</f>
        <v>40000</v>
      </c>
      <c r="C4" s="5" t="s">
        <v>176</v>
      </c>
      <c r="D4" s="29" t="n">
        <f aca="false">$B$4*UTENZA!B$7</f>
        <v>28000</v>
      </c>
      <c r="E4" s="29" t="n">
        <f aca="false">$B$4*UTENZA!C$7</f>
        <v>32000</v>
      </c>
      <c r="F4" s="29" t="n">
        <f aca="false">$B$4*UTENZA!D$7</f>
        <v>34800</v>
      </c>
      <c r="G4" s="29" t="n">
        <f aca="false">$B$4*UTENZA!E$7</f>
        <v>36000</v>
      </c>
      <c r="H4" s="29" t="n">
        <f aca="false">$B$4*UTENZA!F$7</f>
        <v>40000</v>
      </c>
      <c r="I4" s="29" t="n">
        <f aca="false">$B$4*UTENZA!G$7</f>
        <v>40000</v>
      </c>
      <c r="J4" s="29" t="n">
        <f aca="false">$B$4*UTENZA!H$7</f>
        <v>40000</v>
      </c>
      <c r="K4" s="29" t="n">
        <f aca="false">$B$4*UTENZA!I$7</f>
        <v>40000</v>
      </c>
      <c r="L4" s="29" t="n">
        <f aca="false">$B$4*UTENZA!J$7</f>
        <v>40000</v>
      </c>
      <c r="M4" s="29" t="n">
        <f aca="false">$B$4*UTENZA!K$7</f>
        <v>40000</v>
      </c>
      <c r="N4" s="29" t="n">
        <f aca="false">$B$4*UTENZA!L$7</f>
        <v>40000</v>
      </c>
      <c r="O4" s="29" t="n">
        <f aca="false">$B$4*UTENZA!M$7</f>
        <v>40000</v>
      </c>
      <c r="P4" s="22" t="n">
        <f aca="false">SUM(D4:O4)</f>
        <v>450800</v>
      </c>
    </row>
    <row r="5" customFormat="false" ht="15" hidden="false" customHeight="true" outlineLevel="0" collapsed="false">
      <c r="A5" s="5" t="s">
        <v>52</v>
      </c>
      <c r="B5" s="27" t="n">
        <f aca="false">IPOTESI!$B$26</f>
        <v>20000</v>
      </c>
      <c r="C5" s="5" t="s">
        <v>53</v>
      </c>
      <c r="D5" s="29" t="n">
        <f aca="false">$B$5</f>
        <v>20000</v>
      </c>
      <c r="E5" s="29" t="n">
        <f aca="false">$B$5</f>
        <v>20000</v>
      </c>
      <c r="F5" s="29" t="n">
        <f aca="false">$B$5</f>
        <v>20000</v>
      </c>
      <c r="G5" s="29" t="n">
        <f aca="false">$B$5</f>
        <v>20000</v>
      </c>
      <c r="H5" s="29" t="n">
        <f aca="false">$B$5</f>
        <v>20000</v>
      </c>
      <c r="I5" s="29" t="n">
        <f aca="false">$B$5</f>
        <v>20000</v>
      </c>
      <c r="J5" s="29" t="n">
        <f aca="false">$B$5</f>
        <v>20000</v>
      </c>
      <c r="K5" s="29" t="n">
        <f aca="false">$B$5</f>
        <v>20000</v>
      </c>
      <c r="L5" s="29" t="n">
        <f aca="false">$B$5</f>
        <v>20000</v>
      </c>
      <c r="M5" s="29" t="n">
        <f aca="false">$B$5</f>
        <v>20000</v>
      </c>
      <c r="N5" s="29" t="n">
        <f aca="false">$B$5</f>
        <v>20000</v>
      </c>
      <c r="O5" s="29" t="n">
        <f aca="false">$B$5</f>
        <v>20000</v>
      </c>
      <c r="P5" s="22" t="n">
        <f aca="false">SUM(D5:O5)</f>
        <v>240000</v>
      </c>
    </row>
    <row r="6" customFormat="false" ht="15" hidden="false" customHeight="true" outlineLevel="0" collapsed="false">
      <c r="A6" s="5" t="s">
        <v>55</v>
      </c>
      <c r="B6" s="27" t="n">
        <f aca="false">IPOTESI!$B$27</f>
        <v>6000</v>
      </c>
      <c r="C6" s="5" t="s">
        <v>53</v>
      </c>
      <c r="D6" s="29" t="n">
        <f aca="false">$B$6</f>
        <v>6000</v>
      </c>
      <c r="E6" s="29" t="n">
        <f aca="false">$B$6</f>
        <v>6000</v>
      </c>
      <c r="F6" s="29" t="n">
        <f aca="false">$B$6</f>
        <v>6000</v>
      </c>
      <c r="G6" s="29" t="n">
        <f aca="false">$B$6</f>
        <v>6000</v>
      </c>
      <c r="H6" s="29" t="n">
        <f aca="false">$B$6</f>
        <v>6000</v>
      </c>
      <c r="I6" s="29" t="n">
        <f aca="false">$B$6</f>
        <v>6000</v>
      </c>
      <c r="J6" s="29" t="n">
        <f aca="false">$B$6</f>
        <v>6000</v>
      </c>
      <c r="K6" s="29" t="n">
        <f aca="false">$B$6</f>
        <v>6000</v>
      </c>
      <c r="L6" s="29" t="n">
        <f aca="false">$B$6</f>
        <v>6000</v>
      </c>
      <c r="M6" s="29" t="n">
        <f aca="false">$B$6</f>
        <v>6000</v>
      </c>
      <c r="N6" s="29" t="n">
        <f aca="false">$B$6</f>
        <v>6000</v>
      </c>
      <c r="O6" s="29" t="n">
        <f aca="false">$B$6</f>
        <v>6000</v>
      </c>
      <c r="P6" s="22" t="n">
        <f aca="false">SUM(D6:O6)</f>
        <v>72000</v>
      </c>
    </row>
    <row r="7" customFormat="false" ht="15" hidden="false" customHeight="true" outlineLevel="0" collapsed="false">
      <c r="A7" s="5" t="s">
        <v>57</v>
      </c>
      <c r="B7" s="27" t="n">
        <f aca="false">IPOTESI!$B$28</f>
        <v>5000</v>
      </c>
      <c r="C7" s="5" t="s">
        <v>53</v>
      </c>
      <c r="D7" s="29" t="n">
        <f aca="false">$B$7</f>
        <v>5000</v>
      </c>
      <c r="E7" s="29" t="n">
        <f aca="false">$B$7</f>
        <v>5000</v>
      </c>
      <c r="F7" s="29" t="n">
        <f aca="false">$B$7</f>
        <v>5000</v>
      </c>
      <c r="G7" s="29" t="n">
        <f aca="false">$B$7</f>
        <v>5000</v>
      </c>
      <c r="H7" s="29" t="n">
        <f aca="false">$B$7</f>
        <v>5000</v>
      </c>
      <c r="I7" s="29" t="n">
        <f aca="false">$B$7</f>
        <v>5000</v>
      </c>
      <c r="J7" s="29" t="n">
        <f aca="false">$B$7</f>
        <v>5000</v>
      </c>
      <c r="K7" s="29" t="n">
        <f aca="false">$B$7</f>
        <v>5000</v>
      </c>
      <c r="L7" s="29" t="n">
        <f aca="false">$B$7</f>
        <v>5000</v>
      </c>
      <c r="M7" s="29" t="n">
        <f aca="false">$B$7</f>
        <v>5000</v>
      </c>
      <c r="N7" s="29" t="n">
        <f aca="false">$B$7</f>
        <v>5000</v>
      </c>
      <c r="O7" s="29" t="n">
        <f aca="false">$B$7</f>
        <v>5000</v>
      </c>
      <c r="P7" s="22" t="n">
        <f aca="false">SUM(D7:O7)</f>
        <v>60000</v>
      </c>
    </row>
    <row r="8" customFormat="false" ht="15" hidden="false" customHeight="true" outlineLevel="0" collapsed="false">
      <c r="A8" s="5" t="s">
        <v>59</v>
      </c>
      <c r="B8" s="27" t="n">
        <f aca="false">IPOTESI!$B$29</f>
        <v>1000</v>
      </c>
      <c r="C8" s="5" t="s">
        <v>60</v>
      </c>
      <c r="D8" s="29" t="n">
        <f aca="false">$B$8</f>
        <v>1000</v>
      </c>
      <c r="E8" s="29" t="n">
        <f aca="false">$B$8</f>
        <v>1000</v>
      </c>
      <c r="F8" s="29" t="n">
        <f aca="false">$B$8</f>
        <v>1000</v>
      </c>
      <c r="G8" s="29" t="n">
        <f aca="false">$B$8</f>
        <v>1000</v>
      </c>
      <c r="H8" s="29" t="n">
        <f aca="false">$B$8</f>
        <v>1000</v>
      </c>
      <c r="I8" s="29" t="n">
        <f aca="false">$B$8</f>
        <v>1000</v>
      </c>
      <c r="J8" s="29" t="n">
        <f aca="false">$B$8</f>
        <v>1000</v>
      </c>
      <c r="K8" s="29" t="n">
        <f aca="false">$B$8</f>
        <v>1000</v>
      </c>
      <c r="L8" s="29" t="n">
        <f aca="false">$B$8</f>
        <v>1000</v>
      </c>
      <c r="M8" s="29" t="n">
        <f aca="false">$B$8</f>
        <v>1000</v>
      </c>
      <c r="N8" s="29" t="n">
        <f aca="false">$B$8</f>
        <v>1000</v>
      </c>
      <c r="O8" s="29" t="n">
        <f aca="false">$B$8</f>
        <v>1000</v>
      </c>
      <c r="P8" s="22" t="n">
        <f aca="false">SUM(D8:O8)</f>
        <v>12000</v>
      </c>
    </row>
    <row r="9" customFormat="false" ht="15" hidden="false" customHeight="true" outlineLevel="0" collapsed="false">
      <c r="A9" s="5" t="s">
        <v>62</v>
      </c>
      <c r="B9" s="27" t="n">
        <f aca="false">IPOTESI!$B$30</f>
        <v>3000</v>
      </c>
      <c r="C9" s="5" t="s">
        <v>63</v>
      </c>
      <c r="D9" s="29" t="n">
        <f aca="false">$B$9</f>
        <v>3000</v>
      </c>
      <c r="E9" s="29" t="n">
        <f aca="false">$B$9</f>
        <v>3000</v>
      </c>
      <c r="F9" s="29" t="n">
        <f aca="false">$B$9</f>
        <v>3000</v>
      </c>
      <c r="G9" s="29" t="n">
        <f aca="false">$B$9</f>
        <v>3000</v>
      </c>
      <c r="H9" s="29" t="n">
        <f aca="false">$B$9</f>
        <v>3000</v>
      </c>
      <c r="I9" s="29" t="n">
        <f aca="false">$B$9</f>
        <v>3000</v>
      </c>
      <c r="J9" s="29" t="n">
        <f aca="false">$B$9</f>
        <v>3000</v>
      </c>
      <c r="K9" s="29" t="n">
        <f aca="false">$B$9</f>
        <v>3000</v>
      </c>
      <c r="L9" s="29" t="n">
        <f aca="false">$B$9</f>
        <v>3000</v>
      </c>
      <c r="M9" s="29" t="n">
        <f aca="false">$B$9</f>
        <v>3000</v>
      </c>
      <c r="N9" s="29" t="n">
        <f aca="false">$B$9</f>
        <v>3000</v>
      </c>
      <c r="O9" s="29" t="n">
        <f aca="false">$B$9</f>
        <v>3000</v>
      </c>
      <c r="P9" s="22" t="n">
        <f aca="false">SUM(D9:O9)</f>
        <v>36000</v>
      </c>
    </row>
    <row r="10" customFormat="false" ht="15" hidden="false" customHeight="true" outlineLevel="0" collapsed="false">
      <c r="A10" s="5" t="s">
        <v>65</v>
      </c>
      <c r="B10" s="27" t="n">
        <f aca="false">IPOTESI!$B$31</f>
        <v>2000</v>
      </c>
      <c r="C10" s="5" t="s">
        <v>63</v>
      </c>
      <c r="D10" s="29" t="n">
        <f aca="false">$B$10</f>
        <v>2000</v>
      </c>
      <c r="E10" s="29" t="n">
        <f aca="false">$B$10</f>
        <v>2000</v>
      </c>
      <c r="F10" s="29" t="n">
        <f aca="false">$B$10</f>
        <v>2000</v>
      </c>
      <c r="G10" s="29" t="n">
        <f aca="false">$B$10</f>
        <v>2000</v>
      </c>
      <c r="H10" s="29" t="n">
        <f aca="false">$B$10</f>
        <v>2000</v>
      </c>
      <c r="I10" s="29" t="n">
        <f aca="false">$B$10</f>
        <v>2000</v>
      </c>
      <c r="J10" s="29" t="n">
        <f aca="false">$B$10</f>
        <v>2000</v>
      </c>
      <c r="K10" s="29" t="n">
        <f aca="false">$B$10</f>
        <v>2000</v>
      </c>
      <c r="L10" s="29" t="n">
        <f aca="false">$B$10</f>
        <v>2000</v>
      </c>
      <c r="M10" s="29" t="n">
        <f aca="false">$B$10</f>
        <v>2000</v>
      </c>
      <c r="N10" s="29" t="n">
        <f aca="false">$B$10</f>
        <v>2000</v>
      </c>
      <c r="O10" s="29" t="n">
        <f aca="false">$B$10</f>
        <v>2000</v>
      </c>
      <c r="P10" s="22" t="n">
        <f aca="false">SUM(D10:O10)</f>
        <v>24000</v>
      </c>
    </row>
    <row r="11" customFormat="false" ht="15" hidden="false" customHeight="true" outlineLevel="0" collapsed="false">
      <c r="A11" s="5" t="s">
        <v>67</v>
      </c>
      <c r="B11" s="27" t="n">
        <f aca="false">IPOTESI!$B$32</f>
        <v>5000</v>
      </c>
      <c r="C11" s="5" t="s">
        <v>68</v>
      </c>
      <c r="D11" s="29" t="n">
        <f aca="false">$B$11</f>
        <v>5000</v>
      </c>
      <c r="E11" s="29" t="n">
        <f aca="false">$B$11</f>
        <v>5000</v>
      </c>
      <c r="F11" s="29" t="n">
        <f aca="false">$B$11</f>
        <v>5000</v>
      </c>
      <c r="G11" s="29" t="n">
        <f aca="false">$B$11</f>
        <v>5000</v>
      </c>
      <c r="H11" s="29" t="n">
        <f aca="false">$B$11</f>
        <v>5000</v>
      </c>
      <c r="I11" s="29" t="n">
        <f aca="false">$B$11</f>
        <v>5000</v>
      </c>
      <c r="J11" s="29" t="n">
        <f aca="false">$B$11</f>
        <v>5000</v>
      </c>
      <c r="K11" s="29" t="n">
        <f aca="false">$B$11</f>
        <v>5000</v>
      </c>
      <c r="L11" s="29" t="n">
        <f aca="false">$B$11</f>
        <v>5000</v>
      </c>
      <c r="M11" s="29" t="n">
        <f aca="false">$B$11</f>
        <v>5000</v>
      </c>
      <c r="N11" s="29" t="n">
        <f aca="false">$B$11</f>
        <v>5000</v>
      </c>
      <c r="O11" s="29" t="n">
        <f aca="false">$B$11</f>
        <v>5000</v>
      </c>
      <c r="P11" s="22" t="n">
        <f aca="false">SUM(D11:O11)</f>
        <v>60000</v>
      </c>
    </row>
    <row r="12" customFormat="false" ht="15" hidden="false" customHeight="true" outlineLevel="0" collapsed="false">
      <c r="A12" s="5" t="s">
        <v>70</v>
      </c>
      <c r="B12" s="27" t="n">
        <f aca="false">IPOTESI!$B$33</f>
        <v>2000</v>
      </c>
      <c r="C12" s="5" t="s">
        <v>63</v>
      </c>
      <c r="D12" s="29" t="n">
        <f aca="false">$B$12</f>
        <v>2000</v>
      </c>
      <c r="E12" s="29" t="n">
        <f aca="false">$B$12</f>
        <v>2000</v>
      </c>
      <c r="F12" s="29" t="n">
        <f aca="false">$B$12</f>
        <v>2000</v>
      </c>
      <c r="G12" s="29" t="n">
        <f aca="false">$B$12</f>
        <v>2000</v>
      </c>
      <c r="H12" s="29" t="n">
        <f aca="false">$B$12</f>
        <v>2000</v>
      </c>
      <c r="I12" s="29" t="n">
        <f aca="false">$B$12</f>
        <v>2000</v>
      </c>
      <c r="J12" s="29" t="n">
        <f aca="false">$B$12</f>
        <v>2000</v>
      </c>
      <c r="K12" s="29" t="n">
        <f aca="false">$B$12</f>
        <v>2000</v>
      </c>
      <c r="L12" s="29" t="n">
        <f aca="false">$B$12</f>
        <v>2000</v>
      </c>
      <c r="M12" s="29" t="n">
        <f aca="false">$B$12</f>
        <v>2000</v>
      </c>
      <c r="N12" s="29" t="n">
        <f aca="false">$B$12</f>
        <v>2000</v>
      </c>
      <c r="O12" s="29" t="n">
        <f aca="false">$B$12</f>
        <v>2000</v>
      </c>
      <c r="P12" s="22" t="n">
        <f aca="false">SUM(D12:O12)</f>
        <v>24000</v>
      </c>
    </row>
    <row r="13" customFormat="false" ht="15" hidden="false" customHeight="true" outlineLevel="0" collapsed="false">
      <c r="A13" s="5" t="s">
        <v>72</v>
      </c>
      <c r="B13" s="27" t="n">
        <f aca="false">IPOTESI!$B$34</f>
        <v>1000</v>
      </c>
      <c r="C13" s="5" t="s">
        <v>73</v>
      </c>
      <c r="D13" s="29" t="n">
        <f aca="false">$B$13</f>
        <v>1000</v>
      </c>
      <c r="E13" s="29" t="n">
        <f aca="false">$B$13</f>
        <v>1000</v>
      </c>
      <c r="F13" s="29" t="n">
        <f aca="false">$B$13</f>
        <v>1000</v>
      </c>
      <c r="G13" s="29" t="n">
        <f aca="false">$B$13</f>
        <v>1000</v>
      </c>
      <c r="H13" s="29" t="n">
        <f aca="false">$B$13</f>
        <v>1000</v>
      </c>
      <c r="I13" s="29" t="n">
        <f aca="false">$B$13</f>
        <v>1000</v>
      </c>
      <c r="J13" s="29" t="n">
        <f aca="false">$B$13</f>
        <v>1000</v>
      </c>
      <c r="K13" s="29" t="n">
        <f aca="false">$B$13</f>
        <v>1000</v>
      </c>
      <c r="L13" s="29" t="n">
        <f aca="false">$B$13</f>
        <v>1000</v>
      </c>
      <c r="M13" s="29" t="n">
        <f aca="false">$B$13</f>
        <v>1000</v>
      </c>
      <c r="N13" s="29" t="n">
        <f aca="false">$B$13</f>
        <v>1000</v>
      </c>
      <c r="O13" s="29" t="n">
        <f aca="false">$B$13</f>
        <v>1000</v>
      </c>
      <c r="P13" s="22" t="n">
        <f aca="false">SUM(D13:O13)</f>
        <v>12000</v>
      </c>
    </row>
    <row r="14" customFormat="false" ht="15" hidden="false" customHeight="true" outlineLevel="0" collapsed="false">
      <c r="A14" s="5" t="s">
        <v>75</v>
      </c>
      <c r="B14" s="27" t="n">
        <f aca="false">IPOTESI!$B$35</f>
        <v>4000</v>
      </c>
      <c r="C14" s="5" t="s">
        <v>177</v>
      </c>
      <c r="D14" s="29" t="n">
        <f aca="false">$B$14*UTENZA!B$7</f>
        <v>2800</v>
      </c>
      <c r="E14" s="29" t="n">
        <f aca="false">$B$14*UTENZA!C$7</f>
        <v>3200</v>
      </c>
      <c r="F14" s="29" t="n">
        <f aca="false">$B$14*UTENZA!D$7</f>
        <v>3480</v>
      </c>
      <c r="G14" s="29" t="n">
        <f aca="false">$B$14*UTENZA!E$7</f>
        <v>3600</v>
      </c>
      <c r="H14" s="29" t="n">
        <f aca="false">$B$14*UTENZA!F$7</f>
        <v>4000</v>
      </c>
      <c r="I14" s="29" t="n">
        <f aca="false">$B$14*UTENZA!G$7</f>
        <v>4000</v>
      </c>
      <c r="J14" s="29" t="n">
        <f aca="false">$B$14*UTENZA!H$7</f>
        <v>4000</v>
      </c>
      <c r="K14" s="29" t="n">
        <f aca="false">$B$14*UTENZA!I$7</f>
        <v>4000</v>
      </c>
      <c r="L14" s="29" t="n">
        <f aca="false">$B$14*UTENZA!J$7</f>
        <v>4000</v>
      </c>
      <c r="M14" s="29" t="n">
        <f aca="false">$B$14*UTENZA!K$7</f>
        <v>4000</v>
      </c>
      <c r="N14" s="29" t="n">
        <f aca="false">$B$14*UTENZA!L$7</f>
        <v>4000</v>
      </c>
      <c r="O14" s="29" t="n">
        <f aca="false">$B$14*UTENZA!M$7</f>
        <v>4000</v>
      </c>
      <c r="P14" s="22" t="n">
        <f aca="false">SUM(D14:O14)</f>
        <v>45080</v>
      </c>
    </row>
    <row r="15" customFormat="false" ht="15" hidden="false" customHeight="true" outlineLevel="0" collapsed="false">
      <c r="A15" s="5" t="s">
        <v>78</v>
      </c>
      <c r="B15" s="27" t="n">
        <f aca="false">IPOTESI!$B$36</f>
        <v>2000</v>
      </c>
      <c r="C15" s="5" t="s">
        <v>177</v>
      </c>
      <c r="D15" s="29" t="n">
        <f aca="false">$B$15*UTENZA!B$7</f>
        <v>1400</v>
      </c>
      <c r="E15" s="29" t="n">
        <f aca="false">$B$15*UTENZA!C$7</f>
        <v>1600</v>
      </c>
      <c r="F15" s="29" t="n">
        <f aca="false">$B$15*UTENZA!D$7</f>
        <v>1740</v>
      </c>
      <c r="G15" s="29" t="n">
        <f aca="false">$B$15*UTENZA!E$7</f>
        <v>1800</v>
      </c>
      <c r="H15" s="29" t="n">
        <f aca="false">$B$15*UTENZA!F$7</f>
        <v>2000</v>
      </c>
      <c r="I15" s="29" t="n">
        <f aca="false">$B$15*UTENZA!G$7</f>
        <v>2000</v>
      </c>
      <c r="J15" s="29" t="n">
        <f aca="false">$B$15*UTENZA!H$7</f>
        <v>2000</v>
      </c>
      <c r="K15" s="29" t="n">
        <f aca="false">$B$15*UTENZA!I$7</f>
        <v>2000</v>
      </c>
      <c r="L15" s="29" t="n">
        <f aca="false">$B$15*UTENZA!J$7</f>
        <v>2000</v>
      </c>
      <c r="M15" s="29" t="n">
        <f aca="false">$B$15*UTENZA!K$7</f>
        <v>2000</v>
      </c>
      <c r="N15" s="29" t="n">
        <f aca="false">$B$15*UTENZA!L$7</f>
        <v>2000</v>
      </c>
      <c r="O15" s="29" t="n">
        <f aca="false">$B$15*UTENZA!M$7</f>
        <v>2000</v>
      </c>
      <c r="P15" s="22" t="n">
        <f aca="false">SUM(D15:O15)</f>
        <v>22540</v>
      </c>
    </row>
    <row r="16" customFormat="false" ht="15" hidden="false" customHeight="true" outlineLevel="0" collapsed="false">
      <c r="A16" s="5" t="s">
        <v>80</v>
      </c>
      <c r="B16" s="27" t="n">
        <f aca="false">IPOTESI!$B$37</f>
        <v>1000</v>
      </c>
      <c r="C16" s="5" t="s">
        <v>81</v>
      </c>
      <c r="D16" s="29" t="n">
        <f aca="false">$B$16</f>
        <v>1000</v>
      </c>
      <c r="E16" s="29" t="n">
        <f aca="false">$B$16</f>
        <v>1000</v>
      </c>
      <c r="F16" s="29" t="n">
        <f aca="false">$B$16</f>
        <v>1000</v>
      </c>
      <c r="G16" s="29" t="n">
        <f aca="false">$B$16</f>
        <v>1000</v>
      </c>
      <c r="H16" s="29" t="n">
        <f aca="false">$B$16</f>
        <v>1000</v>
      </c>
      <c r="I16" s="29" t="n">
        <f aca="false">$B$16</f>
        <v>1000</v>
      </c>
      <c r="J16" s="29" t="n">
        <f aca="false">$B$16</f>
        <v>1000</v>
      </c>
      <c r="K16" s="29" t="n">
        <f aca="false">$B$16</f>
        <v>1000</v>
      </c>
      <c r="L16" s="29" t="n">
        <f aca="false">$B$16</f>
        <v>1000</v>
      </c>
      <c r="M16" s="29" t="n">
        <f aca="false">$B$16</f>
        <v>1000</v>
      </c>
      <c r="N16" s="29" t="n">
        <f aca="false">$B$16</f>
        <v>1000</v>
      </c>
      <c r="O16" s="29" t="n">
        <f aca="false">$B$16</f>
        <v>1000</v>
      </c>
      <c r="P16" s="22" t="n">
        <f aca="false">SUM(D16:O16)</f>
        <v>12000</v>
      </c>
    </row>
    <row r="17" customFormat="false" ht="15" hidden="false" customHeight="true" outlineLevel="0" collapsed="false">
      <c r="A17" s="11" t="s">
        <v>178</v>
      </c>
      <c r="B17" s="32" t="n">
        <f aca="false">SUM(B4:B16)</f>
        <v>92000</v>
      </c>
      <c r="C17" s="13"/>
      <c r="D17" s="32" t="n">
        <f aca="false">SUM(D4:D16)</f>
        <v>78200</v>
      </c>
      <c r="E17" s="32" t="n">
        <f aca="false">SUM(E4:E16)</f>
        <v>82800</v>
      </c>
      <c r="F17" s="32" t="n">
        <f aca="false">SUM(F4:F16)</f>
        <v>86020</v>
      </c>
      <c r="G17" s="32" t="n">
        <f aca="false">SUM(G4:G16)</f>
        <v>87400</v>
      </c>
      <c r="H17" s="32" t="n">
        <f aca="false">SUM(H4:H16)</f>
        <v>92000</v>
      </c>
      <c r="I17" s="32" t="n">
        <f aca="false">SUM(I4:I16)</f>
        <v>92000</v>
      </c>
      <c r="J17" s="32" t="n">
        <f aca="false">SUM(J4:J16)</f>
        <v>92000</v>
      </c>
      <c r="K17" s="32" t="n">
        <f aca="false">SUM(K4:K16)</f>
        <v>92000</v>
      </c>
      <c r="L17" s="32" t="n">
        <f aca="false">SUM(L4:L16)</f>
        <v>92000</v>
      </c>
      <c r="M17" s="32" t="n">
        <f aca="false">SUM(M4:M16)</f>
        <v>92000</v>
      </c>
      <c r="N17" s="32" t="n">
        <f aca="false">SUM(N4:N16)</f>
        <v>92000</v>
      </c>
      <c r="O17" s="32" t="n">
        <f aca="false">SUM(O4:O16)</f>
        <v>92000</v>
      </c>
      <c r="P17" s="33" t="n">
        <f aca="false">SUM(P4:P16)</f>
        <v>1070420</v>
      </c>
    </row>
    <row r="19" customFormat="false" ht="19.5" hidden="false" customHeight="true" outlineLevel="0" collapsed="false">
      <c r="A19" s="4" t="s">
        <v>179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customFormat="false" ht="15" hidden="false" customHeight="true" outlineLevel="0" collapsed="false">
      <c r="A20" s="5" t="s">
        <v>110</v>
      </c>
      <c r="B20" s="27" t="n">
        <f aca="false">IPOTESI!$B$53/IPOTESI!$C$53</f>
        <v>960</v>
      </c>
      <c r="C20" s="28" t="s">
        <v>180</v>
      </c>
      <c r="D20" s="29" t="n">
        <f aca="false">IF(1&lt;=IPOTESI!$C$53,$B$20,0)</f>
        <v>960</v>
      </c>
      <c r="E20" s="29" t="n">
        <f aca="false">IF(2&lt;=IPOTESI!$C$53,$B$20,0)</f>
        <v>960</v>
      </c>
      <c r="F20" s="29" t="n">
        <f aca="false">IF(3&lt;=IPOTESI!$C$53,$B$20,0)</f>
        <v>960</v>
      </c>
      <c r="G20" s="29" t="n">
        <f aca="false">IF(4&lt;=IPOTESI!$C$53,$B$20,0)</f>
        <v>960</v>
      </c>
      <c r="H20" s="29" t="n">
        <f aca="false">IF(5&lt;=IPOTESI!$C$53,$B$20,0)</f>
        <v>960</v>
      </c>
      <c r="I20" s="29" t="n">
        <f aca="false">IF(6&lt;=IPOTESI!$C$53,$B$20,0)</f>
        <v>960</v>
      </c>
      <c r="J20" s="29" t="n">
        <f aca="false">IF(7&lt;=IPOTESI!$C$53,$B$20,0)</f>
        <v>960</v>
      </c>
      <c r="K20" s="29" t="n">
        <f aca="false">IF(8&lt;=IPOTESI!$C$53,$B$20,0)</f>
        <v>960</v>
      </c>
      <c r="L20" s="29" t="n">
        <f aca="false">IF(9&lt;=IPOTESI!$C$53,$B$20,0)</f>
        <v>960</v>
      </c>
      <c r="M20" s="29" t="n">
        <f aca="false">IF(10&lt;=IPOTESI!$C$53,$B$20,0)</f>
        <v>960</v>
      </c>
      <c r="N20" s="29" t="n">
        <f aca="false">IF(11&lt;=IPOTESI!$C$53,$B$20,0)</f>
        <v>0</v>
      </c>
      <c r="O20" s="29" t="n">
        <f aca="false">IF(12&lt;=IPOTESI!$C$53,$B$20,0)</f>
        <v>0</v>
      </c>
      <c r="P20" s="22" t="n">
        <f aca="false">SUM(D20:O20)</f>
        <v>9600</v>
      </c>
    </row>
    <row r="21" customFormat="false" ht="15" hidden="false" customHeight="true" outlineLevel="0" collapsed="false">
      <c r="A21" s="5" t="s">
        <v>112</v>
      </c>
      <c r="B21" s="27" t="n">
        <f aca="false">IPOTESI!$B$54/IPOTESI!$C$54</f>
        <v>480</v>
      </c>
      <c r="C21" s="28" t="s">
        <v>180</v>
      </c>
      <c r="D21" s="29" t="n">
        <f aca="false">IF(1&lt;=IPOTESI!$C$54,$B$21,0)</f>
        <v>480</v>
      </c>
      <c r="E21" s="29" t="n">
        <f aca="false">IF(2&lt;=IPOTESI!$C$54,$B$21,0)</f>
        <v>480</v>
      </c>
      <c r="F21" s="29" t="n">
        <f aca="false">IF(3&lt;=IPOTESI!$C$54,$B$21,0)</f>
        <v>480</v>
      </c>
      <c r="G21" s="29" t="n">
        <f aca="false">IF(4&lt;=IPOTESI!$C$54,$B$21,0)</f>
        <v>480</v>
      </c>
      <c r="H21" s="29" t="n">
        <f aca="false">IF(5&lt;=IPOTESI!$C$54,$B$21,0)</f>
        <v>480</v>
      </c>
      <c r="I21" s="29" t="n">
        <f aca="false">IF(6&lt;=IPOTESI!$C$54,$B$21,0)</f>
        <v>480</v>
      </c>
      <c r="J21" s="29" t="n">
        <f aca="false">IF(7&lt;=IPOTESI!$C$54,$B$21,0)</f>
        <v>480</v>
      </c>
      <c r="K21" s="29" t="n">
        <f aca="false">IF(8&lt;=IPOTESI!$C$54,$B$21,0)</f>
        <v>480</v>
      </c>
      <c r="L21" s="29" t="n">
        <f aca="false">IF(9&lt;=IPOTESI!$C$54,$B$21,0)</f>
        <v>480</v>
      </c>
      <c r="M21" s="29" t="n">
        <f aca="false">IF(10&lt;=IPOTESI!$C$54,$B$21,0)</f>
        <v>480</v>
      </c>
      <c r="N21" s="29" t="n">
        <f aca="false">IF(11&lt;=IPOTESI!$C$54,$B$21,0)</f>
        <v>0</v>
      </c>
      <c r="O21" s="29" t="n">
        <f aca="false">IF(12&lt;=IPOTESI!$C$54,$B$21,0)</f>
        <v>0</v>
      </c>
      <c r="P21" s="22" t="n">
        <f aca="false">SUM(D21:O21)</f>
        <v>4800</v>
      </c>
    </row>
    <row r="22" customFormat="false" ht="15" hidden="false" customHeight="true" outlineLevel="0" collapsed="false">
      <c r="A22" s="5" t="s">
        <v>113</v>
      </c>
      <c r="B22" s="27" t="n">
        <f aca="false">IPOTESI!$B$55/IPOTESI!$C$55</f>
        <v>336</v>
      </c>
      <c r="C22" s="28" t="s">
        <v>180</v>
      </c>
      <c r="D22" s="29" t="n">
        <f aca="false">IF(1&lt;=IPOTESI!$C$55,$B$22,0)</f>
        <v>336</v>
      </c>
      <c r="E22" s="29" t="n">
        <f aca="false">IF(2&lt;=IPOTESI!$C$55,$B$22,0)</f>
        <v>336</v>
      </c>
      <c r="F22" s="29" t="n">
        <f aca="false">IF(3&lt;=IPOTESI!$C$55,$B$22,0)</f>
        <v>336</v>
      </c>
      <c r="G22" s="29" t="n">
        <f aca="false">IF(4&lt;=IPOTESI!$C$55,$B$22,0)</f>
        <v>336</v>
      </c>
      <c r="H22" s="29" t="n">
        <f aca="false">IF(5&lt;=IPOTESI!$C$55,$B$22,0)</f>
        <v>336</v>
      </c>
      <c r="I22" s="29" t="n">
        <f aca="false">IF(6&lt;=IPOTESI!$C$55,$B$22,0)</f>
        <v>336</v>
      </c>
      <c r="J22" s="29" t="n">
        <f aca="false">IF(7&lt;=IPOTESI!$C$55,$B$22,0)</f>
        <v>336</v>
      </c>
      <c r="K22" s="29" t="n">
        <f aca="false">IF(8&lt;=IPOTESI!$C$55,$B$22,0)</f>
        <v>336</v>
      </c>
      <c r="L22" s="29" t="n">
        <f aca="false">IF(9&lt;=IPOTESI!$C$55,$B$22,0)</f>
        <v>336</v>
      </c>
      <c r="M22" s="29" t="n">
        <f aca="false">IF(10&lt;=IPOTESI!$C$55,$B$22,0)</f>
        <v>336</v>
      </c>
      <c r="N22" s="29" t="n">
        <f aca="false">IF(11&lt;=IPOTESI!$C$55,$B$22,0)</f>
        <v>0</v>
      </c>
      <c r="O22" s="29" t="n">
        <f aca="false">IF(12&lt;=IPOTESI!$C$55,$B$22,0)</f>
        <v>0</v>
      </c>
      <c r="P22" s="22" t="n">
        <f aca="false">SUM(D22:O22)</f>
        <v>3360</v>
      </c>
    </row>
    <row r="23" customFormat="false" ht="15" hidden="false" customHeight="true" outlineLevel="0" collapsed="false">
      <c r="A23" s="5" t="s">
        <v>114</v>
      </c>
      <c r="B23" s="27" t="n">
        <f aca="false">IPOTESI!$B$56/IPOTESI!$C$56</f>
        <v>850</v>
      </c>
      <c r="C23" s="28" t="s">
        <v>180</v>
      </c>
      <c r="D23" s="29" t="n">
        <f aca="false">IF(1&lt;=IPOTESI!$C$56,$B$23,0)</f>
        <v>850</v>
      </c>
      <c r="E23" s="29" t="n">
        <f aca="false">IF(2&lt;=IPOTESI!$C$56,$B$23,0)</f>
        <v>850</v>
      </c>
      <c r="F23" s="29" t="n">
        <f aca="false">IF(3&lt;=IPOTESI!$C$56,$B$23,0)</f>
        <v>850</v>
      </c>
      <c r="G23" s="29" t="n">
        <f aca="false">IF(4&lt;=IPOTESI!$C$56,$B$23,0)</f>
        <v>850</v>
      </c>
      <c r="H23" s="29" t="n">
        <f aca="false">IF(5&lt;=IPOTESI!$C$56,$B$23,0)</f>
        <v>850</v>
      </c>
      <c r="I23" s="29" t="n">
        <f aca="false">IF(6&lt;=IPOTESI!$C$56,$B$23,0)</f>
        <v>850</v>
      </c>
      <c r="J23" s="29" t="n">
        <f aca="false">IF(7&lt;=IPOTESI!$C$56,$B$23,0)</f>
        <v>850</v>
      </c>
      <c r="K23" s="29" t="n">
        <f aca="false">IF(8&lt;=IPOTESI!$C$56,$B$23,0)</f>
        <v>850</v>
      </c>
      <c r="L23" s="29" t="n">
        <f aca="false">IF(9&lt;=IPOTESI!$C$56,$B$23,0)</f>
        <v>850</v>
      </c>
      <c r="M23" s="29" t="n">
        <f aca="false">IF(10&lt;=IPOTESI!$C$56,$B$23,0)</f>
        <v>850</v>
      </c>
      <c r="N23" s="29" t="n">
        <f aca="false">IF(11&lt;=IPOTESI!$C$56,$B$23,0)</f>
        <v>0</v>
      </c>
      <c r="O23" s="29" t="n">
        <f aca="false">IF(12&lt;=IPOTESI!$C$56,$B$23,0)</f>
        <v>0</v>
      </c>
      <c r="P23" s="22" t="n">
        <f aca="false">SUM(D23:O23)</f>
        <v>8500</v>
      </c>
    </row>
    <row r="24" customFormat="false" ht="15" hidden="false" customHeight="true" outlineLevel="0" collapsed="false">
      <c r="A24" s="5" t="s">
        <v>116</v>
      </c>
      <c r="B24" s="27" t="n">
        <f aca="false">IPOTESI!$B$57/IPOTESI!$C$57</f>
        <v>120</v>
      </c>
      <c r="C24" s="28" t="s">
        <v>181</v>
      </c>
      <c r="D24" s="29" t="n">
        <f aca="false">IF(1&lt;=IPOTESI!$C$57,$B$24,0)</f>
        <v>120</v>
      </c>
      <c r="E24" s="29" t="n">
        <f aca="false">IF(2&lt;=IPOTESI!$C$57,$B$24,0)</f>
        <v>120</v>
      </c>
      <c r="F24" s="29" t="n">
        <f aca="false">IF(3&lt;=IPOTESI!$C$57,$B$24,0)</f>
        <v>120</v>
      </c>
      <c r="G24" s="29" t="n">
        <f aca="false">IF(4&lt;=IPOTESI!$C$57,$B$24,0)</f>
        <v>120</v>
      </c>
      <c r="H24" s="29" t="n">
        <f aca="false">IF(5&lt;=IPOTESI!$C$57,$B$24,0)</f>
        <v>120</v>
      </c>
      <c r="I24" s="29" t="n">
        <f aca="false">IF(6&lt;=IPOTESI!$C$57,$B$24,0)</f>
        <v>0</v>
      </c>
      <c r="J24" s="29" t="n">
        <f aca="false">IF(7&lt;=IPOTESI!$C$57,$B$24,0)</f>
        <v>0</v>
      </c>
      <c r="K24" s="29" t="n">
        <f aca="false">IF(8&lt;=IPOTESI!$C$57,$B$24,0)</f>
        <v>0</v>
      </c>
      <c r="L24" s="29" t="n">
        <f aca="false">IF(9&lt;=IPOTESI!$C$57,$B$24,0)</f>
        <v>0</v>
      </c>
      <c r="M24" s="29" t="n">
        <f aca="false">IF(10&lt;=IPOTESI!$C$57,$B$24,0)</f>
        <v>0</v>
      </c>
      <c r="N24" s="29" t="n">
        <f aca="false">IF(11&lt;=IPOTESI!$C$57,$B$24,0)</f>
        <v>0</v>
      </c>
      <c r="O24" s="29" t="n">
        <f aca="false">IF(12&lt;=IPOTESI!$C$57,$B$24,0)</f>
        <v>0</v>
      </c>
      <c r="P24" s="22" t="n">
        <f aca="false">SUM(D24:O24)</f>
        <v>600</v>
      </c>
    </row>
    <row r="25" customFormat="false" ht="15" hidden="false" customHeight="true" outlineLevel="0" collapsed="false">
      <c r="A25" s="5" t="s">
        <v>117</v>
      </c>
      <c r="B25" s="27" t="n">
        <f aca="false">IPOTESI!$B$58/IPOTESI!$C$58</f>
        <v>300</v>
      </c>
      <c r="C25" s="28" t="s">
        <v>180</v>
      </c>
      <c r="D25" s="29" t="n">
        <f aca="false">IF(1&lt;=IPOTESI!$C$58,$B$25,0)</f>
        <v>300</v>
      </c>
      <c r="E25" s="29" t="n">
        <f aca="false">IF(2&lt;=IPOTESI!$C$58,$B$25,0)</f>
        <v>300</v>
      </c>
      <c r="F25" s="29" t="n">
        <f aca="false">IF(3&lt;=IPOTESI!$C$58,$B$25,0)</f>
        <v>300</v>
      </c>
      <c r="G25" s="29" t="n">
        <f aca="false">IF(4&lt;=IPOTESI!$C$58,$B$25,0)</f>
        <v>300</v>
      </c>
      <c r="H25" s="29" t="n">
        <f aca="false">IF(5&lt;=IPOTESI!$C$58,$B$25,0)</f>
        <v>300</v>
      </c>
      <c r="I25" s="29" t="n">
        <f aca="false">IF(6&lt;=IPOTESI!$C$58,$B$25,0)</f>
        <v>300</v>
      </c>
      <c r="J25" s="29" t="n">
        <f aca="false">IF(7&lt;=IPOTESI!$C$58,$B$25,0)</f>
        <v>300</v>
      </c>
      <c r="K25" s="29" t="n">
        <f aca="false">IF(8&lt;=IPOTESI!$C$58,$B$25,0)</f>
        <v>300</v>
      </c>
      <c r="L25" s="29" t="n">
        <f aca="false">IF(9&lt;=IPOTESI!$C$58,$B$25,0)</f>
        <v>300</v>
      </c>
      <c r="M25" s="29" t="n">
        <f aca="false">IF(10&lt;=IPOTESI!$C$58,$B$25,0)</f>
        <v>300</v>
      </c>
      <c r="N25" s="29" t="n">
        <f aca="false">IF(11&lt;=IPOTESI!$C$58,$B$25,0)</f>
        <v>0</v>
      </c>
      <c r="O25" s="29" t="n">
        <f aca="false">IF(12&lt;=IPOTESI!$C$58,$B$25,0)</f>
        <v>0</v>
      </c>
      <c r="P25" s="22" t="n">
        <f aca="false">SUM(D25:O25)</f>
        <v>3000</v>
      </c>
    </row>
    <row r="26" customFormat="false" ht="15" hidden="false" customHeight="true" outlineLevel="0" collapsed="false">
      <c r="A26" s="5" t="s">
        <v>118</v>
      </c>
      <c r="B26" s="27" t="n">
        <f aca="false">IPOTESI!$B$59/IPOTESI!$C$59</f>
        <v>1000</v>
      </c>
      <c r="C26" s="28" t="s">
        <v>181</v>
      </c>
      <c r="D26" s="29" t="n">
        <f aca="false">IF(1&lt;=IPOTESI!$C$59,$B$26,0)</f>
        <v>1000</v>
      </c>
      <c r="E26" s="29" t="n">
        <f aca="false">IF(2&lt;=IPOTESI!$C$59,$B$26,0)</f>
        <v>1000</v>
      </c>
      <c r="F26" s="29" t="n">
        <f aca="false">IF(3&lt;=IPOTESI!$C$59,$B$26,0)</f>
        <v>1000</v>
      </c>
      <c r="G26" s="29" t="n">
        <f aca="false">IF(4&lt;=IPOTESI!$C$59,$B$26,0)</f>
        <v>1000</v>
      </c>
      <c r="H26" s="29" t="n">
        <f aca="false">IF(5&lt;=IPOTESI!$C$59,$B$26,0)</f>
        <v>1000</v>
      </c>
      <c r="I26" s="29" t="n">
        <f aca="false">IF(6&lt;=IPOTESI!$C$59,$B$26,0)</f>
        <v>0</v>
      </c>
      <c r="J26" s="29" t="n">
        <f aca="false">IF(7&lt;=IPOTESI!$C$59,$B$26,0)</f>
        <v>0</v>
      </c>
      <c r="K26" s="29" t="n">
        <f aca="false">IF(8&lt;=IPOTESI!$C$59,$B$26,0)</f>
        <v>0</v>
      </c>
      <c r="L26" s="29" t="n">
        <f aca="false">IF(9&lt;=IPOTESI!$C$59,$B$26,0)</f>
        <v>0</v>
      </c>
      <c r="M26" s="29" t="n">
        <f aca="false">IF(10&lt;=IPOTESI!$C$59,$B$26,0)</f>
        <v>0</v>
      </c>
      <c r="N26" s="29" t="n">
        <f aca="false">IF(11&lt;=IPOTESI!$C$59,$B$26,0)</f>
        <v>0</v>
      </c>
      <c r="O26" s="29" t="n">
        <f aca="false">IF(12&lt;=IPOTESI!$C$59,$B$26,0)</f>
        <v>0</v>
      </c>
      <c r="P26" s="22" t="n">
        <f aca="false">SUM(D26:O26)</f>
        <v>5000</v>
      </c>
    </row>
    <row r="27" customFormat="false" ht="15" hidden="false" customHeight="true" outlineLevel="0" collapsed="false">
      <c r="A27" s="5" t="s">
        <v>120</v>
      </c>
      <c r="B27" s="27" t="n">
        <f aca="false">IPOTESI!$B$60/IPOTESI!$C$60</f>
        <v>960</v>
      </c>
      <c r="C27" s="28" t="s">
        <v>181</v>
      </c>
      <c r="D27" s="29" t="n">
        <f aca="false">IF(1&lt;=IPOTESI!$C$60,$B$27,0)</f>
        <v>960</v>
      </c>
      <c r="E27" s="29" t="n">
        <f aca="false">IF(2&lt;=IPOTESI!$C$60,$B$27,0)</f>
        <v>960</v>
      </c>
      <c r="F27" s="29" t="n">
        <f aca="false">IF(3&lt;=IPOTESI!$C$60,$B$27,0)</f>
        <v>960</v>
      </c>
      <c r="G27" s="29" t="n">
        <f aca="false">IF(4&lt;=IPOTESI!$C$60,$B$27,0)</f>
        <v>960</v>
      </c>
      <c r="H27" s="29" t="n">
        <f aca="false">IF(5&lt;=IPOTESI!$C$60,$B$27,0)</f>
        <v>960</v>
      </c>
      <c r="I27" s="29" t="n">
        <f aca="false">IF(6&lt;=IPOTESI!$C$60,$B$27,0)</f>
        <v>0</v>
      </c>
      <c r="J27" s="29" t="n">
        <f aca="false">IF(7&lt;=IPOTESI!$C$60,$B$27,0)</f>
        <v>0</v>
      </c>
      <c r="K27" s="29" t="n">
        <f aca="false">IF(8&lt;=IPOTESI!$C$60,$B$27,0)</f>
        <v>0</v>
      </c>
      <c r="L27" s="29" t="n">
        <f aca="false">IF(9&lt;=IPOTESI!$C$60,$B$27,0)</f>
        <v>0</v>
      </c>
      <c r="M27" s="29" t="n">
        <f aca="false">IF(10&lt;=IPOTESI!$C$60,$B$27,0)</f>
        <v>0</v>
      </c>
      <c r="N27" s="29" t="n">
        <f aca="false">IF(11&lt;=IPOTESI!$C$60,$B$27,0)</f>
        <v>0</v>
      </c>
      <c r="O27" s="29" t="n">
        <f aca="false">IF(12&lt;=IPOTESI!$C$60,$B$27,0)</f>
        <v>0</v>
      </c>
      <c r="P27" s="22" t="n">
        <f aca="false">SUM(D27:O27)</f>
        <v>4800</v>
      </c>
    </row>
    <row r="28" customFormat="false" ht="15" hidden="false" customHeight="true" outlineLevel="0" collapsed="false">
      <c r="A28" s="5" t="s">
        <v>122</v>
      </c>
      <c r="B28" s="27" t="n">
        <f aca="false">IPOTESI!$B$61/IPOTESI!$C$61</f>
        <v>720</v>
      </c>
      <c r="C28" s="28" t="s">
        <v>181</v>
      </c>
      <c r="D28" s="29" t="n">
        <f aca="false">IF(1&lt;=IPOTESI!$C$61,$B$28,0)</f>
        <v>720</v>
      </c>
      <c r="E28" s="29" t="n">
        <f aca="false">IF(2&lt;=IPOTESI!$C$61,$B$28,0)</f>
        <v>720</v>
      </c>
      <c r="F28" s="29" t="n">
        <f aca="false">IF(3&lt;=IPOTESI!$C$61,$B$28,0)</f>
        <v>720</v>
      </c>
      <c r="G28" s="29" t="n">
        <f aca="false">IF(4&lt;=IPOTESI!$C$61,$B$28,0)</f>
        <v>720</v>
      </c>
      <c r="H28" s="29" t="n">
        <f aca="false">IF(5&lt;=IPOTESI!$C$61,$B$28,0)</f>
        <v>720</v>
      </c>
      <c r="I28" s="29" t="n">
        <f aca="false">IF(6&lt;=IPOTESI!$C$61,$B$28,0)</f>
        <v>0</v>
      </c>
      <c r="J28" s="29" t="n">
        <f aca="false">IF(7&lt;=IPOTESI!$C$61,$B$28,0)</f>
        <v>0</v>
      </c>
      <c r="K28" s="29" t="n">
        <f aca="false">IF(8&lt;=IPOTESI!$C$61,$B$28,0)</f>
        <v>0</v>
      </c>
      <c r="L28" s="29" t="n">
        <f aca="false">IF(9&lt;=IPOTESI!$C$61,$B$28,0)</f>
        <v>0</v>
      </c>
      <c r="M28" s="29" t="n">
        <f aca="false">IF(10&lt;=IPOTESI!$C$61,$B$28,0)</f>
        <v>0</v>
      </c>
      <c r="N28" s="29" t="n">
        <f aca="false">IF(11&lt;=IPOTESI!$C$61,$B$28,0)</f>
        <v>0</v>
      </c>
      <c r="O28" s="29" t="n">
        <f aca="false">IF(12&lt;=IPOTESI!$C$61,$B$28,0)</f>
        <v>0</v>
      </c>
      <c r="P28" s="22" t="n">
        <f aca="false">SUM(D28:O28)</f>
        <v>3600</v>
      </c>
    </row>
    <row r="29" customFormat="false" ht="15" hidden="false" customHeight="true" outlineLevel="0" collapsed="false">
      <c r="A29" s="5" t="s">
        <v>123</v>
      </c>
      <c r="B29" s="27" t="n">
        <f aca="false">IPOTESI!$B$62/IPOTESI!$C$62</f>
        <v>800</v>
      </c>
      <c r="C29" s="28" t="s">
        <v>180</v>
      </c>
      <c r="D29" s="29" t="n">
        <f aca="false">IF(1&lt;=IPOTESI!$C$62,$B$29,0)</f>
        <v>800</v>
      </c>
      <c r="E29" s="29" t="n">
        <f aca="false">IF(2&lt;=IPOTESI!$C$62,$B$29,0)</f>
        <v>800</v>
      </c>
      <c r="F29" s="29" t="n">
        <f aca="false">IF(3&lt;=IPOTESI!$C$62,$B$29,0)</f>
        <v>800</v>
      </c>
      <c r="G29" s="29" t="n">
        <f aca="false">IF(4&lt;=IPOTESI!$C$62,$B$29,0)</f>
        <v>800</v>
      </c>
      <c r="H29" s="29" t="n">
        <f aca="false">IF(5&lt;=IPOTESI!$C$62,$B$29,0)</f>
        <v>800</v>
      </c>
      <c r="I29" s="29" t="n">
        <f aca="false">IF(6&lt;=IPOTESI!$C$62,$B$29,0)</f>
        <v>800</v>
      </c>
      <c r="J29" s="29" t="n">
        <f aca="false">IF(7&lt;=IPOTESI!$C$62,$B$29,0)</f>
        <v>800</v>
      </c>
      <c r="K29" s="29" t="n">
        <f aca="false">IF(8&lt;=IPOTESI!$C$62,$B$29,0)</f>
        <v>800</v>
      </c>
      <c r="L29" s="29" t="n">
        <f aca="false">IF(9&lt;=IPOTESI!$C$62,$B$29,0)</f>
        <v>800</v>
      </c>
      <c r="M29" s="29" t="n">
        <f aca="false">IF(10&lt;=IPOTESI!$C$62,$B$29,0)</f>
        <v>800</v>
      </c>
      <c r="N29" s="29" t="n">
        <f aca="false">IF(11&lt;=IPOTESI!$C$62,$B$29,0)</f>
        <v>0</v>
      </c>
      <c r="O29" s="29" t="n">
        <f aca="false">IF(12&lt;=IPOTESI!$C$62,$B$29,0)</f>
        <v>0</v>
      </c>
      <c r="P29" s="22" t="n">
        <f aca="false">SUM(D29:O29)</f>
        <v>8000</v>
      </c>
    </row>
    <row r="30" customFormat="false" ht="15" hidden="false" customHeight="true" outlineLevel="0" collapsed="false">
      <c r="A30" s="5" t="s">
        <v>125</v>
      </c>
      <c r="B30" s="27" t="n">
        <f aca="false">IPOTESI!$B$63/IPOTESI!$C$63</f>
        <v>960</v>
      </c>
      <c r="C30" s="28" t="s">
        <v>181</v>
      </c>
      <c r="D30" s="29" t="n">
        <f aca="false">IF(1&lt;=IPOTESI!$C$63,$B$30,0)</f>
        <v>960</v>
      </c>
      <c r="E30" s="29" t="n">
        <f aca="false">IF(2&lt;=IPOTESI!$C$63,$B$30,0)</f>
        <v>960</v>
      </c>
      <c r="F30" s="29" t="n">
        <f aca="false">IF(3&lt;=IPOTESI!$C$63,$B$30,0)</f>
        <v>960</v>
      </c>
      <c r="G30" s="29" t="n">
        <f aca="false">IF(4&lt;=IPOTESI!$C$63,$B$30,0)</f>
        <v>960</v>
      </c>
      <c r="H30" s="29" t="n">
        <f aca="false">IF(5&lt;=IPOTESI!$C$63,$B$30,0)</f>
        <v>960</v>
      </c>
      <c r="I30" s="29" t="n">
        <f aca="false">IF(6&lt;=IPOTESI!$C$63,$B$30,0)</f>
        <v>0</v>
      </c>
      <c r="J30" s="29" t="n">
        <f aca="false">IF(7&lt;=IPOTESI!$C$63,$B$30,0)</f>
        <v>0</v>
      </c>
      <c r="K30" s="29" t="n">
        <f aca="false">IF(8&lt;=IPOTESI!$C$63,$B$30,0)</f>
        <v>0</v>
      </c>
      <c r="L30" s="29" t="n">
        <f aca="false">IF(9&lt;=IPOTESI!$C$63,$B$30,0)</f>
        <v>0</v>
      </c>
      <c r="M30" s="29" t="n">
        <f aca="false">IF(10&lt;=IPOTESI!$C$63,$B$30,0)</f>
        <v>0</v>
      </c>
      <c r="N30" s="29" t="n">
        <f aca="false">IF(11&lt;=IPOTESI!$C$63,$B$30,0)</f>
        <v>0</v>
      </c>
      <c r="O30" s="29" t="n">
        <f aca="false">IF(12&lt;=IPOTESI!$C$63,$B$30,0)</f>
        <v>0</v>
      </c>
      <c r="P30" s="22" t="n">
        <f aca="false">SUM(D30:O30)</f>
        <v>4800</v>
      </c>
    </row>
    <row r="31" customFormat="false" ht="15" hidden="false" customHeight="true" outlineLevel="0" collapsed="false">
      <c r="A31" s="5" t="s">
        <v>126</v>
      </c>
      <c r="B31" s="27" t="n">
        <f aca="false">IPOTESI!$B$64/IPOTESI!$C$64</f>
        <v>233.333333333333</v>
      </c>
      <c r="C31" s="28" t="s">
        <v>182</v>
      </c>
      <c r="D31" s="29" t="n">
        <f aca="false">IF(1&lt;=IPOTESI!$C$64,$B$31,0)</f>
        <v>233.333333333333</v>
      </c>
      <c r="E31" s="29" t="n">
        <f aca="false">IF(2&lt;=IPOTESI!$C$64,$B$31,0)</f>
        <v>233.333333333333</v>
      </c>
      <c r="F31" s="29" t="n">
        <f aca="false">IF(3&lt;=IPOTESI!$C$64,$B$31,0)</f>
        <v>233.333333333333</v>
      </c>
      <c r="G31" s="29" t="n">
        <f aca="false">IF(4&lt;=IPOTESI!$C$64,$B$31,0)</f>
        <v>233.333333333333</v>
      </c>
      <c r="H31" s="29" t="n">
        <f aca="false">IF(5&lt;=IPOTESI!$C$64,$B$31,0)</f>
        <v>233.333333333333</v>
      </c>
      <c r="I31" s="29" t="n">
        <f aca="false">IF(6&lt;=IPOTESI!$C$64,$B$31,0)</f>
        <v>233.333333333333</v>
      </c>
      <c r="J31" s="29" t="n">
        <f aca="false">IF(7&lt;=IPOTESI!$C$64,$B$31,0)</f>
        <v>233.333333333333</v>
      </c>
      <c r="K31" s="29" t="n">
        <f aca="false">IF(8&lt;=IPOTESI!$C$64,$B$31,0)</f>
        <v>233.333333333333</v>
      </c>
      <c r="L31" s="29" t="n">
        <f aca="false">IF(9&lt;=IPOTESI!$C$64,$B$31,0)</f>
        <v>233.333333333333</v>
      </c>
      <c r="M31" s="29" t="n">
        <f aca="false">IF(10&lt;=IPOTESI!$C$64,$B$31,0)</f>
        <v>233.333333333333</v>
      </c>
      <c r="N31" s="29" t="n">
        <f aca="false">IF(11&lt;=IPOTESI!$C$64,$B$31,0)</f>
        <v>233.333333333333</v>
      </c>
      <c r="O31" s="29" t="n">
        <f aca="false">IF(12&lt;=IPOTESI!$C$64,$B$31,0)</f>
        <v>233.333333333333</v>
      </c>
      <c r="P31" s="22" t="n">
        <f aca="false">SUM(D31:O31)</f>
        <v>2800</v>
      </c>
    </row>
    <row r="32" customFormat="false" ht="15" hidden="false" customHeight="true" outlineLevel="0" collapsed="false">
      <c r="A32" s="5" t="s">
        <v>127</v>
      </c>
      <c r="B32" s="27" t="n">
        <f aca="false">IPOTESI!$B$65/IPOTESI!$C$65</f>
        <v>642.857142857143</v>
      </c>
      <c r="C32" s="28" t="s">
        <v>183</v>
      </c>
      <c r="D32" s="29" t="n">
        <f aca="false">IF(1&lt;=IPOTESI!$C$65,$B$32,0)</f>
        <v>642.857142857143</v>
      </c>
      <c r="E32" s="29" t="n">
        <f aca="false">IF(2&lt;=IPOTESI!$C$65,$B$32,0)</f>
        <v>642.857142857143</v>
      </c>
      <c r="F32" s="29" t="n">
        <f aca="false">IF(3&lt;=IPOTESI!$C$65,$B$32,0)</f>
        <v>642.857142857143</v>
      </c>
      <c r="G32" s="29" t="n">
        <f aca="false">IF(4&lt;=IPOTESI!$C$65,$B$32,0)</f>
        <v>642.857142857143</v>
      </c>
      <c r="H32" s="29" t="n">
        <f aca="false">IF(5&lt;=IPOTESI!$C$65,$B$32,0)</f>
        <v>642.857142857143</v>
      </c>
      <c r="I32" s="29" t="n">
        <f aca="false">IF(6&lt;=IPOTESI!$C$65,$B$32,0)</f>
        <v>642.857142857143</v>
      </c>
      <c r="J32" s="29" t="n">
        <f aca="false">IF(7&lt;=IPOTESI!$C$65,$B$32,0)</f>
        <v>642.857142857143</v>
      </c>
      <c r="K32" s="29" t="n">
        <f aca="false">IF(8&lt;=IPOTESI!$C$65,$B$32,0)</f>
        <v>0</v>
      </c>
      <c r="L32" s="29" t="n">
        <f aca="false">IF(9&lt;=IPOTESI!$C$65,$B$32,0)</f>
        <v>0</v>
      </c>
      <c r="M32" s="29" t="n">
        <f aca="false">IF(10&lt;=IPOTESI!$C$65,$B$32,0)</f>
        <v>0</v>
      </c>
      <c r="N32" s="29" t="n">
        <f aca="false">IF(11&lt;=IPOTESI!$C$65,$B$32,0)</f>
        <v>0</v>
      </c>
      <c r="O32" s="29" t="n">
        <f aca="false">IF(12&lt;=IPOTESI!$C$65,$B$32,0)</f>
        <v>0</v>
      </c>
      <c r="P32" s="22" t="n">
        <f aca="false">SUM(D32:O32)</f>
        <v>4500</v>
      </c>
    </row>
    <row r="33" customFormat="false" ht="15" hidden="false" customHeight="true" outlineLevel="0" collapsed="false">
      <c r="A33" s="5" t="s">
        <v>128</v>
      </c>
      <c r="B33" s="27" t="n">
        <f aca="false">IPOTESI!$B$66/IPOTESI!$C$66</f>
        <v>800</v>
      </c>
      <c r="C33" s="28" t="s">
        <v>180</v>
      </c>
      <c r="D33" s="29" t="n">
        <f aca="false">IF(1&lt;=IPOTESI!$C$66,$B$33,0)</f>
        <v>800</v>
      </c>
      <c r="E33" s="29" t="n">
        <f aca="false">IF(2&lt;=IPOTESI!$C$66,$B$33,0)</f>
        <v>800</v>
      </c>
      <c r="F33" s="29" t="n">
        <f aca="false">IF(3&lt;=IPOTESI!$C$66,$B$33,0)</f>
        <v>800</v>
      </c>
      <c r="G33" s="29" t="n">
        <f aca="false">IF(4&lt;=IPOTESI!$C$66,$B$33,0)</f>
        <v>800</v>
      </c>
      <c r="H33" s="29" t="n">
        <f aca="false">IF(5&lt;=IPOTESI!$C$66,$B$33,0)</f>
        <v>800</v>
      </c>
      <c r="I33" s="29" t="n">
        <f aca="false">IF(6&lt;=IPOTESI!$C$66,$B$33,0)</f>
        <v>800</v>
      </c>
      <c r="J33" s="29" t="n">
        <f aca="false">IF(7&lt;=IPOTESI!$C$66,$B$33,0)</f>
        <v>800</v>
      </c>
      <c r="K33" s="29" t="n">
        <f aca="false">IF(8&lt;=IPOTESI!$C$66,$B$33,0)</f>
        <v>800</v>
      </c>
      <c r="L33" s="29" t="n">
        <f aca="false">IF(9&lt;=IPOTESI!$C$66,$B$33,0)</f>
        <v>800</v>
      </c>
      <c r="M33" s="29" t="n">
        <f aca="false">IF(10&lt;=IPOTESI!$C$66,$B$33,0)</f>
        <v>800</v>
      </c>
      <c r="N33" s="29" t="n">
        <f aca="false">IF(11&lt;=IPOTESI!$C$66,$B$33,0)</f>
        <v>0</v>
      </c>
      <c r="O33" s="29" t="n">
        <f aca="false">IF(12&lt;=IPOTESI!$C$66,$B$33,0)</f>
        <v>0</v>
      </c>
      <c r="P33" s="22" t="n">
        <f aca="false">SUM(D33:O33)</f>
        <v>8000</v>
      </c>
    </row>
    <row r="34" customFormat="false" ht="15" hidden="false" customHeight="true" outlineLevel="0" collapsed="false">
      <c r="A34" s="5" t="s">
        <v>129</v>
      </c>
      <c r="B34" s="27" t="n">
        <f aca="false">IPOTESI!$B$67/IPOTESI!$C$67</f>
        <v>500</v>
      </c>
      <c r="C34" s="28" t="s">
        <v>183</v>
      </c>
      <c r="D34" s="29" t="n">
        <f aca="false">IF(1&lt;=IPOTESI!$C$67,$B$34,0)</f>
        <v>500</v>
      </c>
      <c r="E34" s="29" t="n">
        <f aca="false">IF(2&lt;=IPOTESI!$C$67,$B$34,0)</f>
        <v>500</v>
      </c>
      <c r="F34" s="29" t="n">
        <f aca="false">IF(3&lt;=IPOTESI!$C$67,$B$34,0)</f>
        <v>500</v>
      </c>
      <c r="G34" s="29" t="n">
        <f aca="false">IF(4&lt;=IPOTESI!$C$67,$B$34,0)</f>
        <v>500</v>
      </c>
      <c r="H34" s="29" t="n">
        <f aca="false">IF(5&lt;=IPOTESI!$C$67,$B$34,0)</f>
        <v>500</v>
      </c>
      <c r="I34" s="29" t="n">
        <f aca="false">IF(6&lt;=IPOTESI!$C$67,$B$34,0)</f>
        <v>500</v>
      </c>
      <c r="J34" s="29" t="n">
        <f aca="false">IF(7&lt;=IPOTESI!$C$67,$B$34,0)</f>
        <v>500</v>
      </c>
      <c r="K34" s="29" t="n">
        <f aca="false">IF(8&lt;=IPOTESI!$C$67,$B$34,0)</f>
        <v>0</v>
      </c>
      <c r="L34" s="29" t="n">
        <f aca="false">IF(9&lt;=IPOTESI!$C$67,$B$34,0)</f>
        <v>0</v>
      </c>
      <c r="M34" s="29" t="n">
        <f aca="false">IF(10&lt;=IPOTESI!$C$67,$B$34,0)</f>
        <v>0</v>
      </c>
      <c r="N34" s="29" t="n">
        <f aca="false">IF(11&lt;=IPOTESI!$C$67,$B$34,0)</f>
        <v>0</v>
      </c>
      <c r="O34" s="29" t="n">
        <f aca="false">IF(12&lt;=IPOTESI!$C$67,$B$34,0)</f>
        <v>0</v>
      </c>
      <c r="P34" s="22" t="n">
        <f aca="false">SUM(D34:O34)</f>
        <v>3500</v>
      </c>
    </row>
    <row r="35" customFormat="false" ht="15" hidden="false" customHeight="true" outlineLevel="0" collapsed="false">
      <c r="A35" s="5" t="s">
        <v>131</v>
      </c>
      <c r="B35" s="27" t="n">
        <f aca="false">IPOTESI!$B$68/IPOTESI!$C$68</f>
        <v>300</v>
      </c>
      <c r="C35" s="28" t="s">
        <v>181</v>
      </c>
      <c r="D35" s="29" t="n">
        <f aca="false">IF(1&lt;=IPOTESI!$C$68,$B$35,0)</f>
        <v>300</v>
      </c>
      <c r="E35" s="29" t="n">
        <f aca="false">IF(2&lt;=IPOTESI!$C$68,$B$35,0)</f>
        <v>300</v>
      </c>
      <c r="F35" s="29" t="n">
        <f aca="false">IF(3&lt;=IPOTESI!$C$68,$B$35,0)</f>
        <v>300</v>
      </c>
      <c r="G35" s="29" t="n">
        <f aca="false">IF(4&lt;=IPOTESI!$C$68,$B$35,0)</f>
        <v>300</v>
      </c>
      <c r="H35" s="29" t="n">
        <f aca="false">IF(5&lt;=IPOTESI!$C$68,$B$35,0)</f>
        <v>300</v>
      </c>
      <c r="I35" s="29" t="n">
        <f aca="false">IF(6&lt;=IPOTESI!$C$68,$B$35,0)</f>
        <v>0</v>
      </c>
      <c r="J35" s="29" t="n">
        <f aca="false">IF(7&lt;=IPOTESI!$C$68,$B$35,0)</f>
        <v>0</v>
      </c>
      <c r="K35" s="29" t="n">
        <f aca="false">IF(8&lt;=IPOTESI!$C$68,$B$35,0)</f>
        <v>0</v>
      </c>
      <c r="L35" s="29" t="n">
        <f aca="false">IF(9&lt;=IPOTESI!$C$68,$B$35,0)</f>
        <v>0</v>
      </c>
      <c r="M35" s="29" t="n">
        <f aca="false">IF(10&lt;=IPOTESI!$C$68,$B$35,0)</f>
        <v>0</v>
      </c>
      <c r="N35" s="29" t="n">
        <f aca="false">IF(11&lt;=IPOTESI!$C$68,$B$35,0)</f>
        <v>0</v>
      </c>
      <c r="O35" s="29" t="n">
        <f aca="false">IF(12&lt;=IPOTESI!$C$68,$B$35,0)</f>
        <v>0</v>
      </c>
      <c r="P35" s="22" t="n">
        <f aca="false">SUM(D35:O35)</f>
        <v>1500</v>
      </c>
    </row>
    <row r="36" customFormat="false" ht="15" hidden="false" customHeight="true" outlineLevel="0" collapsed="false">
      <c r="A36" s="5" t="s">
        <v>132</v>
      </c>
      <c r="B36" s="27" t="n">
        <f aca="false">IPOTESI!$B$69/IPOTESI!$C$69</f>
        <v>144</v>
      </c>
      <c r="C36" s="28" t="s">
        <v>180</v>
      </c>
      <c r="D36" s="29" t="n">
        <f aca="false">IF(1&lt;=IPOTESI!$C$69,$B$36,0)</f>
        <v>144</v>
      </c>
      <c r="E36" s="29" t="n">
        <f aca="false">IF(2&lt;=IPOTESI!$C$69,$B$36,0)</f>
        <v>144</v>
      </c>
      <c r="F36" s="29" t="n">
        <f aca="false">IF(3&lt;=IPOTESI!$C$69,$B$36,0)</f>
        <v>144</v>
      </c>
      <c r="G36" s="29" t="n">
        <f aca="false">IF(4&lt;=IPOTESI!$C$69,$B$36,0)</f>
        <v>144</v>
      </c>
      <c r="H36" s="29" t="n">
        <f aca="false">IF(5&lt;=IPOTESI!$C$69,$B$36,0)</f>
        <v>144</v>
      </c>
      <c r="I36" s="29" t="n">
        <f aca="false">IF(6&lt;=IPOTESI!$C$69,$B$36,0)</f>
        <v>144</v>
      </c>
      <c r="J36" s="29" t="n">
        <f aca="false">IF(7&lt;=IPOTESI!$C$69,$B$36,0)</f>
        <v>144</v>
      </c>
      <c r="K36" s="29" t="n">
        <f aca="false">IF(8&lt;=IPOTESI!$C$69,$B$36,0)</f>
        <v>144</v>
      </c>
      <c r="L36" s="29" t="n">
        <f aca="false">IF(9&lt;=IPOTESI!$C$69,$B$36,0)</f>
        <v>144</v>
      </c>
      <c r="M36" s="29" t="n">
        <f aca="false">IF(10&lt;=IPOTESI!$C$69,$B$36,0)</f>
        <v>144</v>
      </c>
      <c r="N36" s="29" t="n">
        <f aca="false">IF(11&lt;=IPOTESI!$C$69,$B$36,0)</f>
        <v>0</v>
      </c>
      <c r="O36" s="29" t="n">
        <f aca="false">IF(12&lt;=IPOTESI!$C$69,$B$36,0)</f>
        <v>0</v>
      </c>
      <c r="P36" s="22" t="n">
        <f aca="false">SUM(D36:O36)</f>
        <v>1440</v>
      </c>
    </row>
    <row r="37" customFormat="false" ht="15" hidden="false" customHeight="true" outlineLevel="0" collapsed="false">
      <c r="A37" s="11" t="s">
        <v>184</v>
      </c>
      <c r="B37" s="32" t="n">
        <f aca="false">SUM(B20:B36)</f>
        <v>10106.1904761905</v>
      </c>
      <c r="C37" s="13"/>
      <c r="D37" s="32" t="n">
        <f aca="false">SUM(D20:D36)</f>
        <v>10106.1904761905</v>
      </c>
      <c r="E37" s="32" t="n">
        <f aca="false">SUM(E20:E36)</f>
        <v>10106.1904761905</v>
      </c>
      <c r="F37" s="32" t="n">
        <f aca="false">SUM(F20:F36)</f>
        <v>10106.1904761905</v>
      </c>
      <c r="G37" s="32" t="n">
        <f aca="false">SUM(G20:G36)</f>
        <v>10106.1904761905</v>
      </c>
      <c r="H37" s="32" t="n">
        <f aca="false">SUM(H20:H36)</f>
        <v>10106.1904761905</v>
      </c>
      <c r="I37" s="32" t="n">
        <f aca="false">SUM(I20:I36)</f>
        <v>6046.19047619048</v>
      </c>
      <c r="J37" s="32" t="n">
        <f aca="false">SUM(J20:J36)</f>
        <v>6046.19047619048</v>
      </c>
      <c r="K37" s="32" t="n">
        <f aca="false">SUM(K20:K36)</f>
        <v>4903.33333333333</v>
      </c>
      <c r="L37" s="32" t="n">
        <f aca="false">SUM(L20:L36)</f>
        <v>4903.33333333333</v>
      </c>
      <c r="M37" s="32" t="n">
        <f aca="false">SUM(M20:M36)</f>
        <v>4903.33333333333</v>
      </c>
      <c r="N37" s="32" t="n">
        <f aca="false">SUM(N20:N36)</f>
        <v>233.333333333333</v>
      </c>
      <c r="O37" s="32" t="n">
        <f aca="false">SUM(O20:O36)</f>
        <v>233.333333333333</v>
      </c>
      <c r="P37" s="33" t="n">
        <f aca="false">SUM(P20:P36)</f>
        <v>77800</v>
      </c>
    </row>
    <row r="39" customFormat="false" ht="19.5" hidden="false" customHeight="true" outlineLevel="0" collapsed="false">
      <c r="A39" s="4" t="s">
        <v>185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customFormat="false" ht="15" hidden="false" customHeight="true" outlineLevel="0" collapsed="false">
      <c r="A40" s="34" t="s">
        <v>186</v>
      </c>
      <c r="B40" s="27" t="n">
        <f aca="false">IPOTESI!$B$17</f>
        <v>6000</v>
      </c>
      <c r="C40" s="28" t="s">
        <v>187</v>
      </c>
      <c r="D40" s="29" t="n">
        <f aca="false">IF(1&gt;IPOTESI!$B$10,IPOTESI!$B$17,0)</f>
        <v>0</v>
      </c>
      <c r="E40" s="29" t="n">
        <f aca="false">IF(2&gt;IPOTESI!$B$10,IPOTESI!$B$17,0)</f>
        <v>0</v>
      </c>
      <c r="F40" s="29" t="n">
        <f aca="false">IF(3&gt;IPOTESI!$B$10,IPOTESI!$B$17,0)</f>
        <v>0</v>
      </c>
      <c r="G40" s="29" t="n">
        <f aca="false">IF(4&gt;IPOTESI!$B$10,IPOTESI!$B$17,0)</f>
        <v>6000</v>
      </c>
      <c r="H40" s="29" t="n">
        <f aca="false">IF(5&gt;IPOTESI!$B$10,IPOTESI!$B$17,0)</f>
        <v>6000</v>
      </c>
      <c r="I40" s="29" t="n">
        <f aca="false">IF(6&gt;IPOTESI!$B$10,IPOTESI!$B$17,0)</f>
        <v>6000</v>
      </c>
      <c r="J40" s="29" t="n">
        <f aca="false">IF(7&gt;IPOTESI!$B$10,IPOTESI!$B$17,0)</f>
        <v>6000</v>
      </c>
      <c r="K40" s="29" t="n">
        <f aca="false">IF(8&gt;IPOTESI!$B$10,IPOTESI!$B$17,0)</f>
        <v>6000</v>
      </c>
      <c r="L40" s="29" t="n">
        <f aca="false">IF(9&gt;IPOTESI!$B$10,IPOTESI!$B$17,0)</f>
        <v>6000</v>
      </c>
      <c r="M40" s="29" t="n">
        <f aca="false">IF(10&gt;IPOTESI!$B$10,IPOTESI!$B$17,0)</f>
        <v>6000</v>
      </c>
      <c r="N40" s="29" t="n">
        <f aca="false">IF(11&gt;IPOTESI!$B$10,IPOTESI!$B$17,0)</f>
        <v>6000</v>
      </c>
      <c r="O40" s="29" t="n">
        <f aca="false">IF(12&gt;IPOTESI!$B$10,IPOTESI!$B$17,0)</f>
        <v>6000</v>
      </c>
      <c r="P40" s="22" t="n">
        <f aca="false">SUM(D40:O40)</f>
        <v>54000</v>
      </c>
    </row>
    <row r="42" customFormat="false" ht="23.25" hidden="false" customHeight="true" outlineLevel="0" collapsed="false">
      <c r="A42" s="24" t="s">
        <v>188</v>
      </c>
      <c r="B42" s="30" t="n">
        <f aca="false">B17+B37+B40</f>
        <v>108106.19047619</v>
      </c>
      <c r="C42" s="31"/>
      <c r="D42" s="25" t="n">
        <f aca="false">D17+D37+D40</f>
        <v>88306.1904761905</v>
      </c>
      <c r="E42" s="25" t="n">
        <f aca="false">E17+E37+E40</f>
        <v>92906.1904761905</v>
      </c>
      <c r="F42" s="25" t="n">
        <f aca="false">F17+F37+F40</f>
        <v>96126.1904761905</v>
      </c>
      <c r="G42" s="25" t="n">
        <f aca="false">G17+G37+G40</f>
        <v>103506.19047619</v>
      </c>
      <c r="H42" s="25" t="n">
        <f aca="false">H17+H37+H40</f>
        <v>108106.19047619</v>
      </c>
      <c r="I42" s="25" t="n">
        <f aca="false">I17+I37+I40</f>
        <v>104046.19047619</v>
      </c>
      <c r="J42" s="25" t="n">
        <f aca="false">J17+J37+J40</f>
        <v>104046.19047619</v>
      </c>
      <c r="K42" s="25" t="n">
        <f aca="false">K17+K37+K40</f>
        <v>102903.333333333</v>
      </c>
      <c r="L42" s="25" t="n">
        <f aca="false">L17+L37+L40</f>
        <v>102903.333333333</v>
      </c>
      <c r="M42" s="25" t="n">
        <f aca="false">M17+M37+M40</f>
        <v>102903.333333333</v>
      </c>
      <c r="N42" s="25" t="n">
        <f aca="false">N17+N37+N40</f>
        <v>98233.3333333333</v>
      </c>
      <c r="O42" s="25" t="n">
        <f aca="false">O17+O37+O40</f>
        <v>98233.3333333333</v>
      </c>
      <c r="P42" s="25" t="n">
        <f aca="false">P17+P37+P40</f>
        <v>1202220</v>
      </c>
    </row>
  </sheetData>
  <mergeCells count="3">
    <mergeCell ref="A1:O1"/>
    <mergeCell ref="A19:O19"/>
    <mergeCell ref="A39:O3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2"/>
    <col collapsed="false" customWidth="true" hidden="false" outlineLevel="0" max="15" min="2" style="1" width="13"/>
  </cols>
  <sheetData>
    <row r="1" customFormat="false" ht="27.75" hidden="false" customHeight="true" outlineLevel="0" collapsed="false">
      <c r="A1" s="2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3" customFormat="false" ht="23.25" hidden="false" customHeight="true" outlineLevel="0" collapsed="false">
      <c r="A3" s="3" t="s">
        <v>190</v>
      </c>
      <c r="B3" s="3" t="s">
        <v>191</v>
      </c>
      <c r="C3" s="3" t="s">
        <v>192</v>
      </c>
      <c r="D3" s="3" t="s">
        <v>193</v>
      </c>
      <c r="E3" s="3" t="s">
        <v>194</v>
      </c>
      <c r="F3" s="3" t="s">
        <v>195</v>
      </c>
      <c r="G3" s="3" t="s">
        <v>196</v>
      </c>
      <c r="H3" s="3" t="s">
        <v>197</v>
      </c>
      <c r="I3" s="3" t="s">
        <v>198</v>
      </c>
      <c r="J3" s="3" t="s">
        <v>199</v>
      </c>
      <c r="K3" s="3" t="s">
        <v>200</v>
      </c>
      <c r="L3" s="3" t="s">
        <v>201</v>
      </c>
      <c r="M3" s="3" t="s">
        <v>202</v>
      </c>
      <c r="N3" s="3" t="s">
        <v>203</v>
      </c>
    </row>
    <row r="4" customFormat="false" ht="19.5" hidden="false" customHeight="true" outlineLevel="0" collapsed="false">
      <c r="A4" s="4" t="s">
        <v>204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customFormat="false" ht="15" hidden="false" customHeight="true" outlineLevel="0" collapsed="false">
      <c r="A5" s="5" t="s">
        <v>205</v>
      </c>
      <c r="B5" s="35" t="n">
        <f aca="false">UTENZA!B13</f>
        <v>248640</v>
      </c>
      <c r="C5" s="35" t="n">
        <f aca="false">UTENZA!C13</f>
        <v>284160</v>
      </c>
      <c r="D5" s="35" t="n">
        <f aca="false">UTENZA!D13</f>
        <v>309024</v>
      </c>
      <c r="E5" s="35" t="n">
        <f aca="false">UTENZA!E13</f>
        <v>319680</v>
      </c>
      <c r="F5" s="35" t="n">
        <f aca="false">UTENZA!F13</f>
        <v>355200</v>
      </c>
      <c r="G5" s="35" t="n">
        <f aca="false">UTENZA!G13</f>
        <v>355200</v>
      </c>
      <c r="H5" s="35" t="n">
        <f aca="false">UTENZA!H13</f>
        <v>355200</v>
      </c>
      <c r="I5" s="35" t="n">
        <f aca="false">UTENZA!I13</f>
        <v>355200</v>
      </c>
      <c r="J5" s="35" t="n">
        <f aca="false">UTENZA!J13</f>
        <v>355200</v>
      </c>
      <c r="K5" s="35" t="n">
        <f aca="false">UTENZA!K13</f>
        <v>355200</v>
      </c>
      <c r="L5" s="35" t="n">
        <f aca="false">UTENZA!L13</f>
        <v>355200</v>
      </c>
      <c r="M5" s="35" t="n">
        <f aca="false">UTENZA!M13</f>
        <v>355200</v>
      </c>
      <c r="N5" s="22" t="n">
        <f aca="false">SUM(B5:M5)</f>
        <v>4003104</v>
      </c>
    </row>
    <row r="6" customFormat="false" ht="15" hidden="false" customHeight="true" outlineLevel="0" collapsed="false">
      <c r="A6" s="5" t="s">
        <v>206</v>
      </c>
      <c r="B6" s="35" t="n">
        <f aca="false">UTENZA!B14</f>
        <v>33600</v>
      </c>
      <c r="C6" s="35" t="n">
        <f aca="false">UTENZA!C14</f>
        <v>38400</v>
      </c>
      <c r="D6" s="35" t="n">
        <f aca="false">UTENZA!D14</f>
        <v>41760</v>
      </c>
      <c r="E6" s="35" t="n">
        <f aca="false">UTENZA!E14</f>
        <v>43200</v>
      </c>
      <c r="F6" s="35" t="n">
        <f aca="false">UTENZA!F14</f>
        <v>48000</v>
      </c>
      <c r="G6" s="35" t="n">
        <f aca="false">UTENZA!G14</f>
        <v>48000</v>
      </c>
      <c r="H6" s="35" t="n">
        <f aca="false">UTENZA!H14</f>
        <v>48000</v>
      </c>
      <c r="I6" s="35" t="n">
        <f aca="false">UTENZA!I14</f>
        <v>48000</v>
      </c>
      <c r="J6" s="35" t="n">
        <f aca="false">UTENZA!J14</f>
        <v>48000</v>
      </c>
      <c r="K6" s="35" t="n">
        <f aca="false">UTENZA!K14</f>
        <v>48000</v>
      </c>
      <c r="L6" s="35" t="n">
        <f aca="false">UTENZA!L14</f>
        <v>48000</v>
      </c>
      <c r="M6" s="35" t="n">
        <f aca="false">UTENZA!M14</f>
        <v>48000</v>
      </c>
      <c r="N6" s="22" t="n">
        <f aca="false">SUM(B6:M6)</f>
        <v>540960</v>
      </c>
    </row>
    <row r="7" customFormat="false" ht="15" hidden="false" customHeight="true" outlineLevel="0" collapsed="false">
      <c r="A7" s="11" t="s">
        <v>207</v>
      </c>
      <c r="B7" s="33" t="n">
        <f aca="false">B5+B6</f>
        <v>282240</v>
      </c>
      <c r="C7" s="33" t="n">
        <f aca="false">C5+C6</f>
        <v>322560</v>
      </c>
      <c r="D7" s="33" t="n">
        <f aca="false">D5+D6</f>
        <v>350784</v>
      </c>
      <c r="E7" s="33" t="n">
        <f aca="false">E5+E6</f>
        <v>362880</v>
      </c>
      <c r="F7" s="33" t="n">
        <f aca="false">F5+F6</f>
        <v>403200</v>
      </c>
      <c r="G7" s="33" t="n">
        <f aca="false">G5+G6</f>
        <v>403200</v>
      </c>
      <c r="H7" s="33" t="n">
        <f aca="false">H5+H6</f>
        <v>403200</v>
      </c>
      <c r="I7" s="33" t="n">
        <f aca="false">I5+I6</f>
        <v>403200</v>
      </c>
      <c r="J7" s="33" t="n">
        <f aca="false">J5+J6</f>
        <v>403200</v>
      </c>
      <c r="K7" s="33" t="n">
        <f aca="false">K5+K6</f>
        <v>403200</v>
      </c>
      <c r="L7" s="33" t="n">
        <f aca="false">L5+L6</f>
        <v>403200</v>
      </c>
      <c r="M7" s="33" t="n">
        <f aca="false">M5+M6</f>
        <v>403200</v>
      </c>
      <c r="N7" s="25" t="n">
        <f aca="false">SUM(B7:M7)</f>
        <v>4544064</v>
      </c>
    </row>
    <row r="9" customFormat="false" ht="19.5" hidden="false" customHeight="true" outlineLevel="0" collapsed="false">
      <c r="A9" s="4" t="s">
        <v>208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customFormat="false" ht="15" hidden="false" customHeight="true" outlineLevel="0" collapsed="false">
      <c r="A10" s="5" t="s">
        <v>209</v>
      </c>
      <c r="B10" s="35" t="n">
        <f aca="false">PERSONALE!D11</f>
        <v>273179.97</v>
      </c>
      <c r="C10" s="35" t="n">
        <f aca="false">PERSONALE!E11</f>
        <v>273179.97</v>
      </c>
      <c r="D10" s="35" t="n">
        <f aca="false">PERSONALE!F11</f>
        <v>273179.97</v>
      </c>
      <c r="E10" s="35" t="n">
        <f aca="false">PERSONALE!G11</f>
        <v>273179.97</v>
      </c>
      <c r="F10" s="35" t="n">
        <f aca="false">PERSONALE!H11</f>
        <v>273179.97</v>
      </c>
      <c r="G10" s="35" t="n">
        <f aca="false">PERSONALE!I11</f>
        <v>273179.97</v>
      </c>
      <c r="H10" s="35" t="n">
        <f aca="false">PERSONALE!J11</f>
        <v>273179.97</v>
      </c>
      <c r="I10" s="35" t="n">
        <f aca="false">PERSONALE!K11</f>
        <v>273179.97</v>
      </c>
      <c r="J10" s="35" t="n">
        <f aca="false">PERSONALE!L11</f>
        <v>273179.97</v>
      </c>
      <c r="K10" s="35" t="n">
        <f aca="false">PERSONALE!M11</f>
        <v>273179.97</v>
      </c>
      <c r="L10" s="35" t="n">
        <f aca="false">PERSONALE!N11</f>
        <v>273179.97</v>
      </c>
      <c r="M10" s="35" t="n">
        <f aca="false">PERSONALE!O11</f>
        <v>273179.97</v>
      </c>
      <c r="N10" s="22" t="n">
        <f aca="false">SUM(B10:M10)</f>
        <v>3278159.64</v>
      </c>
    </row>
    <row r="12" customFormat="false" ht="19.5" hidden="false" customHeight="true" outlineLevel="0" collapsed="false">
      <c r="A12" s="4" t="s">
        <v>210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customFormat="false" ht="15" hidden="false" customHeight="true" outlineLevel="0" collapsed="false">
      <c r="A13" s="5" t="s">
        <v>211</v>
      </c>
      <c r="B13" s="35" t="n">
        <f aca="false">COSTI_ESERCIZIO!D17</f>
        <v>78200</v>
      </c>
      <c r="C13" s="35" t="n">
        <f aca="false">COSTI_ESERCIZIO!E17</f>
        <v>82800</v>
      </c>
      <c r="D13" s="35" t="n">
        <f aca="false">COSTI_ESERCIZIO!F17</f>
        <v>86020</v>
      </c>
      <c r="E13" s="35" t="n">
        <f aca="false">COSTI_ESERCIZIO!G17</f>
        <v>87400</v>
      </c>
      <c r="F13" s="35" t="n">
        <f aca="false">COSTI_ESERCIZIO!H17</f>
        <v>92000</v>
      </c>
      <c r="G13" s="35" t="n">
        <f aca="false">COSTI_ESERCIZIO!I17</f>
        <v>92000</v>
      </c>
      <c r="H13" s="35" t="n">
        <f aca="false">COSTI_ESERCIZIO!J17</f>
        <v>92000</v>
      </c>
      <c r="I13" s="35" t="n">
        <f aca="false">COSTI_ESERCIZIO!K17</f>
        <v>92000</v>
      </c>
      <c r="J13" s="35" t="n">
        <f aca="false">COSTI_ESERCIZIO!L17</f>
        <v>92000</v>
      </c>
      <c r="K13" s="35" t="n">
        <f aca="false">COSTI_ESERCIZIO!M17</f>
        <v>92000</v>
      </c>
      <c r="L13" s="35" t="n">
        <f aca="false">COSTI_ESERCIZIO!N17</f>
        <v>92000</v>
      </c>
      <c r="M13" s="35" t="n">
        <f aca="false">COSTI_ESERCIZIO!O17</f>
        <v>92000</v>
      </c>
      <c r="N13" s="22" t="n">
        <f aca="false">SUM(B13:M13)</f>
        <v>1070420</v>
      </c>
    </row>
    <row r="14" customFormat="false" ht="15" hidden="false" customHeight="true" outlineLevel="0" collapsed="false">
      <c r="A14" s="5" t="s">
        <v>212</v>
      </c>
      <c r="B14" s="35" t="n">
        <f aca="false">COSTI_ESERCIZIO!D37</f>
        <v>10106.1904761905</v>
      </c>
      <c r="C14" s="35" t="n">
        <f aca="false">COSTI_ESERCIZIO!E37</f>
        <v>10106.1904761905</v>
      </c>
      <c r="D14" s="35" t="n">
        <f aca="false">COSTI_ESERCIZIO!F37</f>
        <v>10106.1904761905</v>
      </c>
      <c r="E14" s="35" t="n">
        <f aca="false">COSTI_ESERCIZIO!G37</f>
        <v>10106.1904761905</v>
      </c>
      <c r="F14" s="35" t="n">
        <f aca="false">COSTI_ESERCIZIO!H37</f>
        <v>10106.1904761905</v>
      </c>
      <c r="G14" s="35" t="n">
        <f aca="false">COSTI_ESERCIZIO!I37</f>
        <v>6046.19047619048</v>
      </c>
      <c r="H14" s="35" t="n">
        <f aca="false">COSTI_ESERCIZIO!J37</f>
        <v>6046.19047619048</v>
      </c>
      <c r="I14" s="35" t="n">
        <f aca="false">COSTI_ESERCIZIO!K37</f>
        <v>4903.33333333333</v>
      </c>
      <c r="J14" s="35" t="n">
        <f aca="false">COSTI_ESERCIZIO!L37</f>
        <v>4903.33333333333</v>
      </c>
      <c r="K14" s="35" t="n">
        <f aca="false">COSTI_ESERCIZIO!M37</f>
        <v>4903.33333333333</v>
      </c>
      <c r="L14" s="35" t="n">
        <f aca="false">COSTI_ESERCIZIO!N37</f>
        <v>233.333333333333</v>
      </c>
      <c r="M14" s="35" t="n">
        <f aca="false">COSTI_ESERCIZIO!O37</f>
        <v>233.333333333333</v>
      </c>
      <c r="N14" s="22" t="n">
        <f aca="false">SUM(B14:M14)</f>
        <v>77800</v>
      </c>
    </row>
    <row r="15" customFormat="false" ht="15" hidden="false" customHeight="true" outlineLevel="0" collapsed="false">
      <c r="A15" s="5" t="s">
        <v>213</v>
      </c>
      <c r="B15" s="35" t="n">
        <f aca="false">COSTI_ESERCIZIO!D40</f>
        <v>0</v>
      </c>
      <c r="C15" s="35" t="n">
        <f aca="false">COSTI_ESERCIZIO!E40</f>
        <v>0</v>
      </c>
      <c r="D15" s="35" t="n">
        <f aca="false">COSTI_ESERCIZIO!F40</f>
        <v>0</v>
      </c>
      <c r="E15" s="35" t="n">
        <f aca="false">COSTI_ESERCIZIO!G40</f>
        <v>6000</v>
      </c>
      <c r="F15" s="35" t="n">
        <f aca="false">COSTI_ESERCIZIO!H40</f>
        <v>6000</v>
      </c>
      <c r="G15" s="35" t="n">
        <f aca="false">COSTI_ESERCIZIO!I40</f>
        <v>6000</v>
      </c>
      <c r="H15" s="35" t="n">
        <f aca="false">COSTI_ESERCIZIO!J40</f>
        <v>6000</v>
      </c>
      <c r="I15" s="35" t="n">
        <f aca="false">COSTI_ESERCIZIO!K40</f>
        <v>6000</v>
      </c>
      <c r="J15" s="35" t="n">
        <f aca="false">COSTI_ESERCIZIO!L40</f>
        <v>6000</v>
      </c>
      <c r="K15" s="35" t="n">
        <f aca="false">COSTI_ESERCIZIO!M40</f>
        <v>6000</v>
      </c>
      <c r="L15" s="35" t="n">
        <f aca="false">COSTI_ESERCIZIO!N40</f>
        <v>6000</v>
      </c>
      <c r="M15" s="35" t="n">
        <f aca="false">COSTI_ESERCIZIO!O40</f>
        <v>6000</v>
      </c>
      <c r="N15" s="22" t="n">
        <f aca="false">SUM(B15:M15)</f>
        <v>54000</v>
      </c>
    </row>
    <row r="16" customFormat="false" ht="23.25" hidden="false" customHeight="true" outlineLevel="0" collapsed="false">
      <c r="A16" s="11" t="s">
        <v>188</v>
      </c>
      <c r="B16" s="33" t="n">
        <f aca="false">B13+B14+B15</f>
        <v>88306.1904761905</v>
      </c>
      <c r="C16" s="33" t="n">
        <f aca="false">C13+C14+C15</f>
        <v>92906.1904761905</v>
      </c>
      <c r="D16" s="33" t="n">
        <f aca="false">D13+D14+D15</f>
        <v>96126.1904761905</v>
      </c>
      <c r="E16" s="33" t="n">
        <f aca="false">E13+E14+E15</f>
        <v>103506.19047619</v>
      </c>
      <c r="F16" s="33" t="n">
        <f aca="false">F13+F14+F15</f>
        <v>108106.19047619</v>
      </c>
      <c r="G16" s="33" t="n">
        <f aca="false">G13+G14+G15</f>
        <v>104046.19047619</v>
      </c>
      <c r="H16" s="33" t="n">
        <f aca="false">H13+H14+H15</f>
        <v>104046.19047619</v>
      </c>
      <c r="I16" s="33" t="n">
        <f aca="false">I13+I14+I15</f>
        <v>102903.333333333</v>
      </c>
      <c r="J16" s="33" t="n">
        <f aca="false">J13+J14+J15</f>
        <v>102903.333333333</v>
      </c>
      <c r="K16" s="33" t="n">
        <f aca="false">K13+K14+K15</f>
        <v>102903.333333333</v>
      </c>
      <c r="L16" s="33" t="n">
        <f aca="false">L13+L14+L15</f>
        <v>98233.3333333333</v>
      </c>
      <c r="M16" s="33" t="n">
        <f aca="false">M13+M14+M15</f>
        <v>98233.3333333333</v>
      </c>
      <c r="N16" s="25" t="n">
        <f aca="false">SUM(B16:M16)</f>
        <v>1202220</v>
      </c>
    </row>
    <row r="18" customFormat="false" ht="19.5" hidden="false" customHeight="true" outlineLevel="0" collapsed="false">
      <c r="A18" s="4" t="s">
        <v>214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customFormat="false" ht="15" hidden="false" customHeight="true" outlineLevel="0" collapsed="false">
      <c r="A19" s="11" t="s">
        <v>215</v>
      </c>
      <c r="B19" s="33" t="n">
        <f aca="false">B10+B16</f>
        <v>361486.16047619</v>
      </c>
      <c r="C19" s="33" t="n">
        <f aca="false">C10+C16</f>
        <v>366086.16047619</v>
      </c>
      <c r="D19" s="33" t="n">
        <f aca="false">D10+D16</f>
        <v>369306.16047619</v>
      </c>
      <c r="E19" s="33" t="n">
        <f aca="false">E10+E16</f>
        <v>376686.16047619</v>
      </c>
      <c r="F19" s="33" t="n">
        <f aca="false">F10+F16</f>
        <v>381286.16047619</v>
      </c>
      <c r="G19" s="33" t="n">
        <f aca="false">G10+G16</f>
        <v>377226.16047619</v>
      </c>
      <c r="H19" s="33" t="n">
        <f aca="false">H10+H16</f>
        <v>377226.16047619</v>
      </c>
      <c r="I19" s="33" t="n">
        <f aca="false">I10+I16</f>
        <v>376083.303333333</v>
      </c>
      <c r="J19" s="33" t="n">
        <f aca="false">J10+J16</f>
        <v>376083.303333333</v>
      </c>
      <c r="K19" s="33" t="n">
        <f aca="false">K10+K16</f>
        <v>376083.303333333</v>
      </c>
      <c r="L19" s="33" t="n">
        <f aca="false">L10+L16</f>
        <v>371413.303333333</v>
      </c>
      <c r="M19" s="33" t="n">
        <f aca="false">M10+M16</f>
        <v>371413.303333333</v>
      </c>
      <c r="N19" s="25" t="n">
        <f aca="false">SUM(B19:M19)</f>
        <v>4480379.64</v>
      </c>
    </row>
    <row r="20" customFormat="false" ht="15" hidden="false" customHeight="true" outlineLevel="0" collapsed="false">
      <c r="A20" s="24" t="s">
        <v>216</v>
      </c>
      <c r="B20" s="25" t="n">
        <f aca="false">B7-B19</f>
        <v>-79246.1604761905</v>
      </c>
      <c r="C20" s="25" t="n">
        <f aca="false">C7-C19</f>
        <v>-43526.1604761904</v>
      </c>
      <c r="D20" s="25" t="n">
        <f aca="false">D7-D19</f>
        <v>-18522.1604761904</v>
      </c>
      <c r="E20" s="25" t="n">
        <f aca="false">E7-E19</f>
        <v>-13806.1604761904</v>
      </c>
      <c r="F20" s="25" t="n">
        <f aca="false">F7-F19</f>
        <v>21913.8395238096</v>
      </c>
      <c r="G20" s="25" t="n">
        <f aca="false">G7-G19</f>
        <v>25973.8395238096</v>
      </c>
      <c r="H20" s="25" t="n">
        <f aca="false">H7-H19</f>
        <v>25973.8395238096</v>
      </c>
      <c r="I20" s="25" t="n">
        <f aca="false">I7-I19</f>
        <v>27116.6966666667</v>
      </c>
      <c r="J20" s="25" t="n">
        <f aca="false">J7-J19</f>
        <v>27116.6966666667</v>
      </c>
      <c r="K20" s="25" t="n">
        <f aca="false">K7-K19</f>
        <v>27116.6966666667</v>
      </c>
      <c r="L20" s="25" t="n">
        <f aca="false">L7-L19</f>
        <v>31786.6966666667</v>
      </c>
      <c r="M20" s="25" t="n">
        <f aca="false">M7-M19</f>
        <v>31786.6966666667</v>
      </c>
      <c r="N20" s="25" t="n">
        <f aca="false">SUM(B20:M20)</f>
        <v>63684.3600000005</v>
      </c>
    </row>
    <row r="21" customFormat="false" ht="15" hidden="false" customHeight="true" outlineLevel="0" collapsed="false">
      <c r="A21" s="5" t="s">
        <v>217</v>
      </c>
      <c r="B21" s="36" t="n">
        <f aca="false">IFERROR(B20/B7,0)</f>
        <v>-0.280775795337976</v>
      </c>
      <c r="C21" s="36" t="n">
        <f aca="false">IFERROR(C20/C7,0)</f>
        <v>-0.134939733619142</v>
      </c>
      <c r="D21" s="36" t="n">
        <f aca="false">IFERROR(D20/D7,0)</f>
        <v>-0.0528021816165801</v>
      </c>
      <c r="E21" s="36" t="n">
        <f aca="false">IFERROR(E20/E7,0)</f>
        <v>-0.0380460771499957</v>
      </c>
      <c r="F21" s="36" t="n">
        <f aca="false">IFERROR(F20/F7,0)</f>
        <v>0.0543498004062737</v>
      </c>
      <c r="G21" s="36" t="n">
        <f aca="false">IFERROR(G20/G7,0)</f>
        <v>0.0644192448507181</v>
      </c>
      <c r="H21" s="36" t="n">
        <f aca="false">IFERROR(H20/H7,0)</f>
        <v>0.0644192448507181</v>
      </c>
      <c r="I21" s="36" t="n">
        <f aca="false">IFERROR(I20/I7,0)</f>
        <v>0.0672537119708996</v>
      </c>
      <c r="J21" s="36" t="n">
        <f aca="false">IFERROR(J20/J7,0)</f>
        <v>0.0672537119708996</v>
      </c>
      <c r="K21" s="36" t="n">
        <f aca="false">IFERROR(K20/K7,0)</f>
        <v>0.0672537119708996</v>
      </c>
      <c r="L21" s="36" t="n">
        <f aca="false">IFERROR(L20/L7,0)</f>
        <v>0.0788360532407409</v>
      </c>
      <c r="M21" s="36" t="n">
        <f aca="false">IFERROR(M20/M7,0)</f>
        <v>0.0788360532407409</v>
      </c>
      <c r="N21" s="37" t="n">
        <f aca="false">IFERROR(N20/N7,0)</f>
        <v>0.0140148466218787</v>
      </c>
    </row>
  </sheetData>
  <mergeCells count="5">
    <mergeCell ref="A1:N1"/>
    <mergeCell ref="A4:N4"/>
    <mergeCell ref="A9:N9"/>
    <mergeCell ref="A12:N12"/>
    <mergeCell ref="A18:N1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2"/>
    <col collapsed="false" customWidth="true" hidden="false" outlineLevel="0" max="14" min="2" style="1" width="11"/>
  </cols>
  <sheetData>
    <row r="1" customFormat="false" ht="15" hidden="false" customHeight="true" outlineLevel="0" collapsed="false">
      <c r="A1" s="38" t="s">
        <v>218</v>
      </c>
    </row>
    <row r="2" customFormat="false" ht="15" hidden="false" customHeight="true" outlineLevel="0" collapsed="false">
      <c r="A2" s="39" t="s">
        <v>219</v>
      </c>
    </row>
    <row r="3" customFormat="false" ht="15" hidden="false" customHeight="true" outlineLevel="0" collapsed="false">
      <c r="A3" s="40" t="s">
        <v>190</v>
      </c>
      <c r="B3" s="40" t="s">
        <v>191</v>
      </c>
      <c r="C3" s="40" t="s">
        <v>192</v>
      </c>
      <c r="D3" s="40" t="s">
        <v>193</v>
      </c>
      <c r="E3" s="40" t="s">
        <v>194</v>
      </c>
      <c r="F3" s="40" t="s">
        <v>195</v>
      </c>
      <c r="G3" s="40" t="s">
        <v>196</v>
      </c>
      <c r="H3" s="40" t="s">
        <v>197</v>
      </c>
      <c r="I3" s="40" t="s">
        <v>198</v>
      </c>
      <c r="J3" s="40" t="s">
        <v>199</v>
      </c>
      <c r="K3" s="40" t="s">
        <v>200</v>
      </c>
      <c r="L3" s="40" t="s">
        <v>201</v>
      </c>
      <c r="M3" s="40" t="s">
        <v>202</v>
      </c>
    </row>
    <row r="4" customFormat="false" ht="15" hidden="false" customHeight="true" outlineLevel="0" collapsed="false">
      <c r="A4" s="1" t="s">
        <v>220</v>
      </c>
      <c r="B4" s="41" t="n">
        <f aca="false">CONTO_ECONOMICO!B20</f>
        <v>-79246.1604761905</v>
      </c>
      <c r="C4" s="41" t="n">
        <f aca="false">CONTO_ECONOMICO!C20</f>
        <v>-43526.1604761904</v>
      </c>
      <c r="D4" s="41" t="n">
        <f aca="false">CONTO_ECONOMICO!D20</f>
        <v>-18522.1604761904</v>
      </c>
      <c r="E4" s="41" t="n">
        <f aca="false">CONTO_ECONOMICO!E20</f>
        <v>-13806.1604761904</v>
      </c>
      <c r="F4" s="41" t="n">
        <f aca="false">CONTO_ECONOMICO!F20</f>
        <v>21913.8395238096</v>
      </c>
      <c r="G4" s="41" t="n">
        <f aca="false">CONTO_ECONOMICO!G20</f>
        <v>25973.8395238096</v>
      </c>
      <c r="H4" s="41" t="n">
        <f aca="false">CONTO_ECONOMICO!H20</f>
        <v>25973.8395238096</v>
      </c>
      <c r="I4" s="41" t="n">
        <f aca="false">CONTO_ECONOMICO!I20</f>
        <v>27116.6966666667</v>
      </c>
      <c r="J4" s="41" t="n">
        <f aca="false">CONTO_ECONOMICO!J20</f>
        <v>27116.6966666667</v>
      </c>
      <c r="K4" s="41" t="n">
        <f aca="false">CONTO_ECONOMICO!K20</f>
        <v>27116.6966666667</v>
      </c>
      <c r="L4" s="41" t="n">
        <f aca="false">CONTO_ECONOMICO!L20</f>
        <v>31786.6966666667</v>
      </c>
      <c r="M4" s="41" t="n">
        <f aca="false">CONTO_ECONOMICO!M20</f>
        <v>31786.6966666667</v>
      </c>
    </row>
    <row r="5" customFormat="false" ht="15" hidden="false" customHeight="true" outlineLevel="0" collapsed="false">
      <c r="A5" s="42" t="s">
        <v>221</v>
      </c>
      <c r="B5" s="43" t="n">
        <f aca="false">B4</f>
        <v>-79246.1604761905</v>
      </c>
      <c r="C5" s="43" t="n">
        <f aca="false">B5+C4</f>
        <v>-122772.320952381</v>
      </c>
      <c r="D5" s="43" t="n">
        <f aca="false">C5+D4</f>
        <v>-141294.481428571</v>
      </c>
      <c r="E5" s="43" t="n">
        <f aca="false">D5+E4</f>
        <v>-155100.641904762</v>
      </c>
      <c r="F5" s="43" t="n">
        <f aca="false">E5+F4</f>
        <v>-133186.802380952</v>
      </c>
      <c r="G5" s="43" t="n">
        <f aca="false">F5+G4</f>
        <v>-107212.962857143</v>
      </c>
      <c r="H5" s="43" t="n">
        <f aca="false">G5+H4</f>
        <v>-81239.1233333331</v>
      </c>
      <c r="I5" s="43" t="n">
        <f aca="false">H5+I4</f>
        <v>-54122.4266666664</v>
      </c>
      <c r="J5" s="43" t="n">
        <f aca="false">I5+J4</f>
        <v>-27005.7299999997</v>
      </c>
      <c r="K5" s="43" t="n">
        <f aca="false">J5+K4</f>
        <v>110.966666667024</v>
      </c>
      <c r="L5" s="43" t="n">
        <f aca="false">K5+L4</f>
        <v>31897.6633333337</v>
      </c>
      <c r="M5" s="43" t="n">
        <f aca="false">L5+M4</f>
        <v>63684.3600000005</v>
      </c>
    </row>
    <row r="6" customFormat="false" ht="15" hidden="false" customHeight="true" outlineLevel="0" collapsed="false">
      <c r="A6" s="1" t="s">
        <v>222</v>
      </c>
      <c r="B6" s="41" t="n">
        <f aca="false">COSTI_ESERCIZIO!D37</f>
        <v>10106.1904761905</v>
      </c>
      <c r="C6" s="41" t="n">
        <f aca="false">COSTI_ESERCIZIO!E37</f>
        <v>10106.1904761905</v>
      </c>
      <c r="D6" s="41" t="n">
        <f aca="false">COSTI_ESERCIZIO!F37</f>
        <v>10106.1904761905</v>
      </c>
      <c r="E6" s="41" t="n">
        <f aca="false">COSTI_ESERCIZIO!G37</f>
        <v>10106.1904761905</v>
      </c>
      <c r="F6" s="41" t="n">
        <f aca="false">COSTI_ESERCIZIO!H37</f>
        <v>10106.1904761905</v>
      </c>
      <c r="G6" s="41" t="n">
        <f aca="false">COSTI_ESERCIZIO!I37</f>
        <v>6046.19047619048</v>
      </c>
      <c r="H6" s="41" t="n">
        <f aca="false">COSTI_ESERCIZIO!J37</f>
        <v>6046.19047619048</v>
      </c>
      <c r="I6" s="41" t="n">
        <f aca="false">COSTI_ESERCIZIO!K37</f>
        <v>4903.33333333333</v>
      </c>
      <c r="J6" s="41" t="n">
        <f aca="false">COSTI_ESERCIZIO!L37</f>
        <v>4903.33333333333</v>
      </c>
      <c r="K6" s="41" t="n">
        <f aca="false">COSTI_ESERCIZIO!M37</f>
        <v>4903.33333333333</v>
      </c>
      <c r="L6" s="41" t="n">
        <f aca="false">COSTI_ESERCIZIO!N37</f>
        <v>233.333333333333</v>
      </c>
      <c r="M6" s="41" t="n">
        <f aca="false">COSTI_ESERCIZIO!O37</f>
        <v>233.333333333333</v>
      </c>
    </row>
    <row r="7" customFormat="false" ht="15" hidden="false" customHeight="true" outlineLevel="0" collapsed="false">
      <c r="A7" s="1" t="s">
        <v>223</v>
      </c>
      <c r="B7" s="44" t="n">
        <f aca="false">B4+B6</f>
        <v>-69139.97</v>
      </c>
      <c r="C7" s="44" t="n">
        <f aca="false">C4+C6</f>
        <v>-33419.97</v>
      </c>
      <c r="D7" s="44" t="n">
        <f aca="false">D4+D6</f>
        <v>-8415.96999999997</v>
      </c>
      <c r="E7" s="44" t="n">
        <f aca="false">E4+E6</f>
        <v>-3699.96999999997</v>
      </c>
      <c r="F7" s="44" t="n">
        <f aca="false">F4+F6</f>
        <v>32020.03</v>
      </c>
      <c r="G7" s="44" t="n">
        <f aca="false">G4+G6</f>
        <v>32020.03</v>
      </c>
      <c r="H7" s="44" t="n">
        <f aca="false">H4+H6</f>
        <v>32020.03</v>
      </c>
      <c r="I7" s="44" t="n">
        <f aca="false">I4+I6</f>
        <v>32020.03</v>
      </c>
      <c r="J7" s="44" t="n">
        <f aca="false">J4+J6</f>
        <v>32020.03</v>
      </c>
      <c r="K7" s="44" t="n">
        <f aca="false">K4+K6</f>
        <v>32020.03</v>
      </c>
      <c r="L7" s="44" t="n">
        <f aca="false">L4+L6</f>
        <v>32020.03</v>
      </c>
      <c r="M7" s="44" t="n">
        <f aca="false">M4+M6</f>
        <v>32020.03</v>
      </c>
    </row>
    <row r="8" customFormat="false" ht="15" hidden="false" customHeight="true" outlineLevel="0" collapsed="false">
      <c r="A8" s="1" t="s">
        <v>224</v>
      </c>
      <c r="B8" s="45" t="n">
        <v>1</v>
      </c>
      <c r="C8" s="45" t="n">
        <v>2</v>
      </c>
      <c r="D8" s="45" t="n">
        <v>3</v>
      </c>
      <c r="E8" s="45" t="n">
        <v>4</v>
      </c>
      <c r="F8" s="45" t="n">
        <v>5</v>
      </c>
      <c r="G8" s="45" t="n">
        <v>6</v>
      </c>
      <c r="H8" s="45" t="n">
        <v>7</v>
      </c>
      <c r="I8" s="45" t="n">
        <v>8</v>
      </c>
      <c r="J8" s="45" t="n">
        <v>9</v>
      </c>
      <c r="K8" s="45" t="n">
        <v>10</v>
      </c>
      <c r="L8" s="45" t="n">
        <v>11</v>
      </c>
      <c r="M8" s="45" t="n">
        <v>12</v>
      </c>
    </row>
    <row r="9" customFormat="false" ht="15" hidden="false" customHeight="true" outlineLevel="0" collapsed="false">
      <c r="A9" s="46" t="s">
        <v>225</v>
      </c>
      <c r="B9" s="47" t="n">
        <f aca="false">IF(MAX(B10:M10)=0,"non raggiunto",MAX(B10:M10))</f>
        <v>10</v>
      </c>
      <c r="C9" s="1" t="s">
        <v>226</v>
      </c>
    </row>
    <row r="10" customFormat="false" ht="15" hidden="false" customHeight="true" outlineLevel="0" collapsed="false">
      <c r="A10" s="1" t="s">
        <v>227</v>
      </c>
      <c r="B10" s="1" t="str">
        <f aca="false">IF(B5&gt;=0,1,"")</f>
        <v/>
      </c>
      <c r="C10" s="1" t="str">
        <f aca="false">IF(AND(C5&gt;=0,B5&lt;0),2,"")</f>
        <v/>
      </c>
      <c r="D10" s="1" t="str">
        <f aca="false">IF(AND(D5&gt;=0,C5&lt;0),3,"")</f>
        <v/>
      </c>
      <c r="E10" s="1" t="str">
        <f aca="false">IF(AND(E5&gt;=0,D5&lt;0),4,"")</f>
        <v/>
      </c>
      <c r="F10" s="1" t="str">
        <f aca="false">IF(AND(F5&gt;=0,E5&lt;0),5,"")</f>
        <v/>
      </c>
      <c r="G10" s="1" t="str">
        <f aca="false">IF(AND(G5&gt;=0,F5&lt;0),6,"")</f>
        <v/>
      </c>
      <c r="H10" s="1" t="str">
        <f aca="false">IF(AND(H5&gt;=0,G5&lt;0),7,"")</f>
        <v/>
      </c>
      <c r="I10" s="1" t="str">
        <f aca="false">IF(AND(I5&gt;=0,H5&lt;0),8,"")</f>
        <v/>
      </c>
      <c r="J10" s="1" t="str">
        <f aca="false">IF(AND(J5&gt;=0,I5&lt;0),9,"")</f>
        <v/>
      </c>
      <c r="K10" s="1" t="n">
        <f aca="false">IF(AND(K5&gt;=0,J5&lt;0),10,"")</f>
        <v>10</v>
      </c>
      <c r="L10" s="1" t="str">
        <f aca="false">IF(AND(L5&gt;=0,K5&lt;0),11,"")</f>
        <v/>
      </c>
      <c r="M10" s="1" t="str">
        <f aca="false">IF(AND(M5&gt;=0,L5&lt;0),12,"")</f>
        <v/>
      </c>
    </row>
    <row r="12" customFormat="false" ht="15" hidden="false" customHeight="true" outlineLevel="0" collapsed="false">
      <c r="A12" s="46" t="s">
        <v>228</v>
      </c>
    </row>
    <row r="13" customFormat="false" ht="15" hidden="false" customHeight="true" outlineLevel="0" collapsed="false">
      <c r="A13" s="1" t="s">
        <v>229</v>
      </c>
      <c r="B13" s="41" t="n">
        <f aca="false">IPOTESI!$B$70</f>
        <v>78500</v>
      </c>
    </row>
    <row r="14" customFormat="false" ht="15" hidden="false" customHeight="true" outlineLevel="0" collapsed="false">
      <c r="A14" s="1" t="s">
        <v>230</v>
      </c>
      <c r="B14" s="48" t="n">
        <v>0.035</v>
      </c>
    </row>
    <row r="15" customFormat="false" ht="15" hidden="false" customHeight="true" outlineLevel="0" collapsed="false">
      <c r="A15" s="1" t="s">
        <v>231</v>
      </c>
      <c r="B15" s="43" t="n">
        <f aca="false">-B13+NPV(B14,B7:M7)</f>
        <v>4493.31300725986</v>
      </c>
    </row>
    <row r="16" customFormat="false" ht="15" hidden="false" customHeight="true" outlineLevel="0" collapsed="false">
      <c r="A16" s="1" t="s">
        <v>232</v>
      </c>
      <c r="B16" s="49" t="n">
        <f aca="false">IRR(B18:N18)</f>
        <v>0.0383062272415592</v>
      </c>
    </row>
    <row r="17" customFormat="false" ht="15" hidden="false" customHeight="true" outlineLevel="0" collapsed="false">
      <c r="A17" s="39" t="s">
        <v>233</v>
      </c>
    </row>
    <row r="18" customFormat="false" ht="15" hidden="false" customHeight="true" outlineLevel="0" collapsed="false">
      <c r="A18" s="50" t="s">
        <v>234</v>
      </c>
      <c r="B18" s="51" t="n">
        <f aca="false">-B13</f>
        <v>-78500</v>
      </c>
      <c r="C18" s="51" t="n">
        <f aca="false">B7</f>
        <v>-69139.97</v>
      </c>
      <c r="D18" s="51" t="n">
        <f aca="false">C7</f>
        <v>-33419.97</v>
      </c>
      <c r="E18" s="51" t="n">
        <f aca="false">D7</f>
        <v>-8415.96999999997</v>
      </c>
      <c r="F18" s="51" t="n">
        <f aca="false">E7</f>
        <v>-3699.96999999997</v>
      </c>
      <c r="G18" s="51" t="n">
        <f aca="false">F7</f>
        <v>32020.03</v>
      </c>
      <c r="H18" s="51" t="n">
        <f aca="false">G7</f>
        <v>32020.03</v>
      </c>
      <c r="I18" s="51" t="n">
        <f aca="false">H7</f>
        <v>32020.03</v>
      </c>
      <c r="J18" s="51" t="n">
        <f aca="false">I7</f>
        <v>32020.03</v>
      </c>
      <c r="K18" s="51" t="n">
        <f aca="false">J7</f>
        <v>32020.03</v>
      </c>
      <c r="L18" s="51" t="n">
        <f aca="false">K7</f>
        <v>32020.03</v>
      </c>
      <c r="M18" s="51" t="n">
        <f aca="false">L7</f>
        <v>32020.03</v>
      </c>
      <c r="N18" s="51" t="n">
        <f aca="false">M7</f>
        <v>32020.03</v>
      </c>
    </row>
    <row r="20" customFormat="false" ht="15" hidden="false" customHeight="true" outlineLevel="0" collapsed="false">
      <c r="A20" s="42" t="s">
        <v>235</v>
      </c>
    </row>
    <row r="21" customFormat="false" ht="15" hidden="false" customHeight="true" outlineLevel="0" collapsed="false">
      <c r="A21" s="52" t="s">
        <v>236</v>
      </c>
    </row>
    <row r="22" customFormat="false" ht="15" hidden="false" customHeight="true" outlineLevel="0" collapsed="false">
      <c r="A22" s="52" t="s">
        <v>237</v>
      </c>
    </row>
    <row r="23" customFormat="false" ht="15" hidden="false" customHeight="true" outlineLevel="0" collapsed="false">
      <c r="A23" s="52" t="s">
        <v>238</v>
      </c>
    </row>
    <row r="24" customFormat="false" ht="15" hidden="false" customHeight="true" outlineLevel="0" collapsed="false">
      <c r="A24" s="52" t="s">
        <v>239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0"/>
    <col collapsed="false" customWidth="true" hidden="false" outlineLevel="0" max="2" min="2" style="1" width="20"/>
    <col collapsed="false" customWidth="true" hidden="false" outlineLevel="0" max="3" min="3" style="1" width="50"/>
  </cols>
  <sheetData>
    <row r="1" customFormat="false" ht="27.75" hidden="false" customHeight="true" outlineLevel="0" collapsed="false">
      <c r="A1" s="2" t="s">
        <v>240</v>
      </c>
      <c r="B1" s="2"/>
      <c r="C1" s="2"/>
    </row>
    <row r="2" customFormat="false" ht="27.75" hidden="false" customHeight="true" outlineLevel="0" collapsed="false">
      <c r="A2" s="2" t="s">
        <v>241</v>
      </c>
      <c r="B2" s="2"/>
      <c r="C2" s="2"/>
    </row>
    <row r="4" customFormat="false" ht="19.5" hidden="false" customHeight="true" outlineLevel="0" collapsed="false">
      <c r="A4" s="4" t="s">
        <v>242</v>
      </c>
      <c r="B4" s="4"/>
      <c r="C4" s="4"/>
    </row>
    <row r="5" customFormat="false" ht="15" hidden="false" customHeight="true" outlineLevel="0" collapsed="false">
      <c r="A5" s="5" t="s">
        <v>243</v>
      </c>
      <c r="B5" s="53" t="n">
        <f aca="false">IPOTESI!$B$8*IPOTESI!$B$15*12*IPOTESI!$B$6</f>
        <v>4262400</v>
      </c>
      <c r="C5" s="5" t="s">
        <v>244</v>
      </c>
    </row>
    <row r="6" customFormat="false" ht="15" hidden="false" customHeight="true" outlineLevel="0" collapsed="false">
      <c r="A6" s="5" t="s">
        <v>245</v>
      </c>
      <c r="B6" s="53" t="n">
        <f aca="false">IPOTESI!$B$9*IPOTESI!$B$16*12*IPOTESI!$B$6</f>
        <v>576000</v>
      </c>
      <c r="C6" s="5" t="s">
        <v>244</v>
      </c>
    </row>
    <row r="7" customFormat="false" ht="23.25" hidden="false" customHeight="true" outlineLevel="0" collapsed="false">
      <c r="A7" s="24" t="s">
        <v>246</v>
      </c>
      <c r="B7" s="30" t="n">
        <f aca="false">B5+B6</f>
        <v>4838400</v>
      </c>
      <c r="C7" s="5" t="s">
        <v>247</v>
      </c>
    </row>
    <row r="8" customFormat="false" ht="15" hidden="false" customHeight="true" outlineLevel="0" collapsed="false">
      <c r="A8" s="5" t="s">
        <v>248</v>
      </c>
      <c r="B8" s="29" t="n">
        <f aca="false">B7/IPOTESI!$B$6</f>
        <v>403200</v>
      </c>
      <c r="C8" s="5" t="s">
        <v>249</v>
      </c>
    </row>
    <row r="10" customFormat="false" ht="19.5" hidden="false" customHeight="true" outlineLevel="0" collapsed="false">
      <c r="A10" s="4" t="s">
        <v>250</v>
      </c>
      <c r="B10" s="4"/>
      <c r="C10" s="4"/>
    </row>
    <row r="11" customFormat="false" ht="15" hidden="false" customHeight="true" outlineLevel="0" collapsed="false">
      <c r="A11" s="5" t="s">
        <v>251</v>
      </c>
      <c r="B11" s="27" t="n">
        <f aca="false">CONTO_ECONOMICO!N7</f>
        <v>4544064</v>
      </c>
      <c r="C11" s="54" t="s">
        <v>252</v>
      </c>
    </row>
    <row r="12" customFormat="false" ht="15" hidden="false" customHeight="true" outlineLevel="0" collapsed="false">
      <c r="A12" s="5" t="s">
        <v>253</v>
      </c>
      <c r="B12" s="27" t="n">
        <f aca="false">CONTO_ECONOMICO!N19</f>
        <v>4480379.64</v>
      </c>
      <c r="C12" s="54"/>
    </row>
    <row r="13" customFormat="false" ht="15" hidden="false" customHeight="true" outlineLevel="0" collapsed="false">
      <c r="A13" s="11" t="s">
        <v>254</v>
      </c>
      <c r="B13" s="32" t="n">
        <f aca="false">CONTO_ECONOMICO!N20</f>
        <v>63684.3600000005</v>
      </c>
      <c r="C13" s="13"/>
    </row>
    <row r="14" customFormat="false" ht="15" hidden="false" customHeight="true" outlineLevel="0" collapsed="false">
      <c r="A14" s="24" t="s">
        <v>225</v>
      </c>
      <c r="B14" s="30" t="n">
        <f aca="false">EQUILIBRIO!$B$9</f>
        <v>10</v>
      </c>
      <c r="C14" s="31" t="s">
        <v>255</v>
      </c>
    </row>
    <row r="16" customFormat="false" ht="19.5" hidden="false" customHeight="true" outlineLevel="0" collapsed="false">
      <c r="A16" s="4" t="s">
        <v>256</v>
      </c>
      <c r="B16" s="4"/>
      <c r="C16" s="4"/>
    </row>
    <row r="17" customFormat="false" ht="15" hidden="false" customHeight="true" outlineLevel="0" collapsed="false">
      <c r="A17" s="5" t="s">
        <v>257</v>
      </c>
      <c r="B17" s="27" t="n">
        <f aca="false">IPOTESI!$B$15</f>
        <v>1850</v>
      </c>
      <c r="C17" s="5" t="s">
        <v>258</v>
      </c>
    </row>
    <row r="18" customFormat="false" ht="15" hidden="false" customHeight="true" outlineLevel="0" collapsed="false">
      <c r="A18" s="5" t="s">
        <v>259</v>
      </c>
      <c r="B18" s="27" t="n">
        <f aca="false">IPOTESI!$B$16</f>
        <v>500</v>
      </c>
      <c r="C18" s="5" t="s">
        <v>260</v>
      </c>
    </row>
    <row r="19" customFormat="false" ht="15" hidden="false" customHeight="true" outlineLevel="0" collapsed="false">
      <c r="A19" s="5" t="s">
        <v>261</v>
      </c>
      <c r="B19" s="27" t="n">
        <f aca="false">IPOTESI!$B$17</f>
        <v>6000</v>
      </c>
      <c r="C19" s="5" t="s">
        <v>262</v>
      </c>
    </row>
    <row r="20" customFormat="false" ht="15" hidden="false" customHeight="true" outlineLevel="0" collapsed="false">
      <c r="A20" s="5" t="s">
        <v>17</v>
      </c>
      <c r="B20" s="16" t="n">
        <f aca="false">IPOTESI!$B$10</f>
        <v>3</v>
      </c>
      <c r="C20" s="5" t="s">
        <v>263</v>
      </c>
    </row>
    <row r="21" customFormat="false" ht="15" hidden="false" customHeight="true" outlineLevel="0" collapsed="false">
      <c r="A21" s="5" t="s">
        <v>264</v>
      </c>
      <c r="B21" s="27" t="n">
        <f aca="false">CONTO_ECONOMICO!N15</f>
        <v>54000</v>
      </c>
      <c r="C21" s="5" t="s">
        <v>265</v>
      </c>
    </row>
  </sheetData>
  <mergeCells count="5">
    <mergeCell ref="A1:C1"/>
    <mergeCell ref="A2:C2"/>
    <mergeCell ref="A4:C4"/>
    <mergeCell ref="A10:C10"/>
    <mergeCell ref="A16:C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2026-05-13T16:33:22Z</dcterms:created>
  <dc:creator>openpyxl</dc:creator>
  <dc:description/>
  <dc:language>en-US</dc:language>
  <cp:lastModifiedBy/>
  <dcterms:modified xsi:type="dcterms:W3CDTF">2026-07-09T08:40:58Z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